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C:\Users\cshull\Documents\FY27 forms\"/>
    </mc:Choice>
  </mc:AlternateContent>
  <xr:revisionPtr revIDLastSave="0" documentId="13_ncr:1_{4621128B-D0D8-49C6-81E7-100CB44935CF}" xr6:coauthVersionLast="47" xr6:coauthVersionMax="47" xr10:uidLastSave="{00000000-0000-0000-0000-000000000000}"/>
  <workbookProtection workbookAlgorithmName="SHA-512" workbookHashValue="iiLvPESjHIvwIbEojQ7xur3RAbPw3APzs3x4JfdBKxPsy70sQMk7Z2VBvSqZQcxELJylv0nR8DtsUVyMQKUk5A==" workbookSaltValue="N6+7+qPXp7/mXcjWk7gExA==" workbookSpinCount="100000" lockStructure="1"/>
  <bookViews>
    <workbookView xWindow="-108" yWindow="-108" windowWidth="41496" windowHeight="16776" tabRatio="883" firstSheet="7" activeTab="10" xr2:uid="{00000000-000D-0000-FFFF-FFFF00000000}"/>
  </bookViews>
  <sheets>
    <sheet name="Cover" sheetId="16" r:id="rId1"/>
    <sheet name="Page 1" sheetId="2" r:id="rId2"/>
    <sheet name="Page 2" sheetId="3" r:id="rId3"/>
    <sheet name="Page 3" sheetId="29" r:id="rId4"/>
    <sheet name="Page 4" sheetId="5" r:id="rId5"/>
    <sheet name="Page 5" sheetId="23" r:id="rId6"/>
    <sheet name="Page 6" sheetId="7" r:id="rId7"/>
    <sheet name="Page 7" sheetId="8" r:id="rId8"/>
    <sheet name="Page 8" sheetId="19" r:id="rId9"/>
    <sheet name="Supplement" sheetId="17" r:id="rId10"/>
    <sheet name="Summary Page 1" sheetId="13" r:id="rId11"/>
    <sheet name="Summary Page 2" sheetId="14" r:id="rId12"/>
    <sheet name="Truth in Tax" sheetId="15" r:id="rId13"/>
    <sheet name="Fund balances" sheetId="31" r:id="rId14"/>
    <sheet name="Data Entry" sheetId="27" r:id="rId15"/>
    <sheet name="Calculations" sheetId="28" r:id="rId16"/>
    <sheet name="BSA55" sheetId="30" r:id="rId17"/>
    <sheet name="Instructions" sheetId="22" r:id="rId18"/>
  </sheets>
  <externalReferences>
    <externalReference r:id="rId19"/>
    <externalReference r:id="rId20"/>
  </externalReferences>
  <definedNames>
    <definedName name="_xlnm._FilterDatabase" localSheetId="17" hidden="1">Instructions!$D$1:$E$178</definedName>
    <definedName name="_Key1" localSheetId="13" hidden="1">#REF!</definedName>
    <definedName name="_Key1" hidden="1">'Page 6'!$O$8</definedName>
    <definedName name="_Order1" hidden="1">255</definedName>
    <definedName name="_PAV2">'Data Entry'!$L$95</definedName>
    <definedName name="_QL912">'BSA55'!$G$165</definedName>
    <definedName name="_Sort" localSheetId="13" hidden="1">#REF!</definedName>
    <definedName name="_Sort" hidden="1">'Page 6'!$O$8:$O$34</definedName>
    <definedName name="AccommRCL05">'Data Entry'!$L$146</definedName>
    <definedName name="AccommRCL10">'Data Entry'!$L$145</definedName>
    <definedName name="AccommTransCheck">'Data Entry'!$C$142</definedName>
    <definedName name="ActAuditExpend">'Data Entry'!$C$67</definedName>
    <definedName name="ActDisabilityRM">'Data Entry'!$L$76</definedName>
    <definedName name="ActivTripLvlFactor">'BSA55'!$E$86</definedName>
    <definedName name="AdjacentWays">Instructions!$C$38</definedName>
    <definedName name="AdjBaseSuppLvl">'BSA55'!$H$69</definedName>
    <definedName name="AdjFYTRCL">'BSA55'!$C$104</definedName>
    <definedName name="AdjTNTBaseLimit">'Truth in Tax'!$I$7</definedName>
    <definedName name="AdjWaysLevy">'Page 5'!$E$29</definedName>
    <definedName name="AllFundAuditBudg6330">'Page 2'!$O$9</definedName>
    <definedName name="AmtOUBudgSSA">'Truth in Tax'!$I$21</definedName>
    <definedName name="AnnualExpforBusPass">'Data Entry'!$L$75</definedName>
    <definedName name="AnnualExpforBusToken">'Data Entry'!$L$74</definedName>
    <definedName name="AOIFTFundFactor">'BSA55'!$F$47</definedName>
    <definedName name="AOIFTGrBAddOnWgtdADM">'BSA55'!$H$35</definedName>
    <definedName name="AOIFTRegEdWgtdADM">'BSA55'!$H$12</definedName>
    <definedName name="AOIFTStudCnt912CY">'Data Entry'!$I$32</definedName>
    <definedName name="AOIFTStudCntDD.ED.MIID.SLD.SLI.OHI">'Data Entry'!$H$50</definedName>
    <definedName name="AOIFTStudCntEDP">'Data Entry'!$H$51</definedName>
    <definedName name="AOIFTStudCntELL">'Data Entry'!$H$40</definedName>
    <definedName name="AOIFTStudCntFRPL">'Data Entry'!$H$54</definedName>
    <definedName name="AOIFTStudCntG">'Data Entry'!$H$55</definedName>
    <definedName name="AOIFTStudCntHI">'Data Entry'!$H$43</definedName>
    <definedName name="AOIFTStudCntK3">'Data Entry'!$H$41</definedName>
    <definedName name="AOIFTStudCntK3R">'Data Entry'!$H$42</definedName>
    <definedName name="AOIFTStudCntK8CY">'Data Entry'!$H$32</definedName>
    <definedName name="AOIFTStudCntMDR.AR.SIDR">'Data Entry'!$H$44</definedName>
    <definedName name="AOIFTStudCntMDSC.ASC.SIDSC">'Data Entry'!$H$45</definedName>
    <definedName name="AOIFTStudCntMDSSI">'Data Entry'!$H$46</definedName>
    <definedName name="AOIFTStudCntMOID">'Data Entry'!$H$52</definedName>
    <definedName name="AOIFTStudCntOIR">'Data Entry'!$H$47</definedName>
    <definedName name="AOIFTStudCntOISC">'Data Entry'!$H$48</definedName>
    <definedName name="AOIFTStudCntP.SD">'Data Entry'!$H$49</definedName>
    <definedName name="AOIFTStudCntPSDCY">'Data Entry'!$G$32</definedName>
    <definedName name="AOIFTStudCntVI">'Data Entry'!$H$53</definedName>
    <definedName name="AOIPTFundFactor">'BSA55'!$H$47</definedName>
    <definedName name="AOIPTGrBAddOnWgtdADM">'BSA55'!$I$35</definedName>
    <definedName name="AOIPTRegEdWgtdADM">'BSA55'!$I$12</definedName>
    <definedName name="AOIPTStudCnt912CY">'Data Entry'!$I$33</definedName>
    <definedName name="AOIPTStudCntDD.ED.MIID.SLD.SLI.OHI">'Data Entry'!$I$50</definedName>
    <definedName name="AOIPTStudCntEDP">'Data Entry'!$I$51</definedName>
    <definedName name="AOIPTStudCntELL">'Data Entry'!$I$40</definedName>
    <definedName name="AOIPTStudCntFRPL">'Data Entry'!$I$54</definedName>
    <definedName name="AOIPTStudCntG">'Data Entry'!$I$55</definedName>
    <definedName name="AOIPTStudCntHI">'Data Entry'!$I$43</definedName>
    <definedName name="AOIPTStudCntK3">'Data Entry'!$I$41</definedName>
    <definedName name="AOIPTStudCntK3R">'Data Entry'!$I$42</definedName>
    <definedName name="AOIPTStudCntK8CY">'Data Entry'!$H$33</definedName>
    <definedName name="AOIPTStudCntMDR.AR.SIDR">'Data Entry'!$I$44</definedName>
    <definedName name="AOIPTStudCntMDSC.ASC.SIDSC">'Data Entry'!$I$45</definedName>
    <definedName name="AOIPTStudCntMDSSI">'Data Entry'!$I$46</definedName>
    <definedName name="AOIPTStudCntMOID">'Data Entry'!$I$52</definedName>
    <definedName name="AOIPTStudCntOIR">'Data Entry'!$I$47</definedName>
    <definedName name="AOIPTStudCntOISC">'Data Entry'!$I$48</definedName>
    <definedName name="AOIPTStudCntP.SD">'Data Entry'!$I$49</definedName>
    <definedName name="AOIPTStudCntPSDCY">'Data Entry'!$G$33</definedName>
    <definedName name="AOIPTStudCntVI">'Data Entry'!$I$53</definedName>
    <definedName name="ApprDRMiles">'Data Entry'!$L$72</definedName>
    <definedName name="AuditServices">Instructions!$C$23</definedName>
    <definedName name="AvgTeacherSalaries">Instructions!$C$10</definedName>
    <definedName name="BaseLevelAmount">'Data Entry'!$J$6</definedName>
    <definedName name="BSA55BLA">'BSA55'!$H$52</definedName>
    <definedName name="BSA55General">Instructions!$C$176</definedName>
    <definedName name="BSA55P4ActivityTripFactors">Instructions!$C$178</definedName>
    <definedName name="BSA55P4AuditServiceExpense">Instructions!$C$177</definedName>
    <definedName name="BSA55TEI">'BSA55'!$C$54</definedName>
    <definedName name="BUDG75Adj">'Data Entry'!$L$100</definedName>
    <definedName name="BudgetYearADM">'Summary Page 1'!$D$12</definedName>
    <definedName name="BudgetYearSalary">Cover!$S$31</definedName>
    <definedName name="BudgetYearSalarySumm">'Summary Page 1'!$I$10</definedName>
    <definedName name="BudgIncrDesegExp">'Page 7'!$J$34</definedName>
    <definedName name="BudgIncrDropPrevProg">'Page 7'!$J$36</definedName>
    <definedName name="BudgIncrJCTEVEC">'Page 7'!$J$39</definedName>
    <definedName name="BusTokens">'Data Entry'!$C$74</definedName>
    <definedName name="CalcGeneral">Instructions!$C$175</definedName>
    <definedName name="CapTransportAdj912">'Data Entry'!$L$83</definedName>
    <definedName name="CapTransportAdjK8">'Data Entry'!$L$82</definedName>
    <definedName name="CapTransportAdjPSD">'Data Entry'!$L$81</definedName>
    <definedName name="Checkbox200Days">'Data Entry'!$C$63</definedName>
    <definedName name="ConsolUnifTransCosts">'Data Entry'!$L$87</definedName>
    <definedName name="ContractFTEAdmin">'Summary Page 2'!$D$38</definedName>
    <definedName name="ContractFTECertOther">'Summary Page 2'!$D$40</definedName>
    <definedName name="ContractFTECertSubtotal">'Summary Page 2'!$D$41</definedName>
    <definedName name="ContractFTEClassOther">'Summary Page 2'!$D$45</definedName>
    <definedName name="ContractFTEClassSubtotal">'Summary Page 2'!$D$46</definedName>
    <definedName name="ContractFTEManagers">'Summary Page 2'!$D$43</definedName>
    <definedName name="ContractFTESpecEdStaff">'Summary Page 2'!$D$51</definedName>
    <definedName name="ContractFTESpecEdTeacher">'Summary Page 2'!$D$50</definedName>
    <definedName name="ContractFTETeachers">'Summary Page 2'!$D$39</definedName>
    <definedName name="ContractFTETeachersAids">'Summary Page 2'!$D$44</definedName>
    <definedName name="ContractFTETotal">'Summary Page 2'!$D$47</definedName>
    <definedName name="cover" localSheetId="0">Cover!$A$1:$Q$41</definedName>
    <definedName name="CoverGen">Instructions!$C$2</definedName>
    <definedName name="CSFActualCurrFY" localSheetId="3">'Page 3'!$D$33</definedName>
    <definedName name="CSFAdjustment">'Page 3'!$D$37</definedName>
    <definedName name="CSFAllocation">'Data Entry'!$J$11</definedName>
    <definedName name="CSFAllocBudgFY" localSheetId="3">'Page 3'!$D$36</definedName>
    <definedName name="CSFBLBudgFY" localSheetId="3">'Page 3'!$D$39</definedName>
    <definedName name="CSFBLBudgFYSumm">'Summary Page 1'!$D$23</definedName>
    <definedName name="CSFBLCurrFY" localSheetId="3">'Page 3'!$D$32</definedName>
    <definedName name="CSFExpBudgFYSumm">'Summary Page 1'!$B$23</definedName>
    <definedName name="CSFPYInterestEarned">'Page 3'!$D$35</definedName>
    <definedName name="CSFUnexpendBudgBal">'Page 3'!$D$34</definedName>
    <definedName name="CTD">Cover!$S$1</definedName>
    <definedName name="CYIAMOTax">'Data Entry'!$L$114</definedName>
    <definedName name="CYIAMOTRCL">'Data Entry'!$L$113</definedName>
    <definedName name="CYIARev">'Data Entry'!$L$111</definedName>
    <definedName name="CYIARevBondDS">'Data Entry'!$L$112</definedName>
    <definedName name="CYTRCL">'BSA55'!$E$105</definedName>
    <definedName name="DailyRteMilesPerElgStud">'BSA55'!$E$81</definedName>
    <definedName name="DataEntryGeneral">Instructions!$C$117</definedName>
    <definedName name="DataEntryOtherBSLBRCLAdjl1">Instructions!$C$141</definedName>
    <definedName name="DataEntryOtherBSLBRCLAdjl3">Instructions!$C$142</definedName>
    <definedName name="DataEntryOtherBSLBRCLAdjl4">Instructions!$C$144</definedName>
    <definedName name="DataEntryOtherBSLBRCLAdjl5">Instructions!$C$145</definedName>
    <definedName name="DataEntryOtherBSLBRCLAdjl6">Instructions!$C$147</definedName>
    <definedName name="DataEntryOtherBSLBRCLAdjl7">Instructions!$C$148</definedName>
    <definedName name="DataEntryOtherInfol1">Instructions!$C$153</definedName>
    <definedName name="DataEntryOtherInfol12">Instructions!$C$164</definedName>
    <definedName name="DataEntryOtherInfol13">Instructions!$C$165</definedName>
    <definedName name="DataEntryOtherInfol14e">Instructions!$C$166</definedName>
    <definedName name="DataEntryOtherInfol16">Instructions!$C$167</definedName>
    <definedName name="DataEntryOtherInfol18">Instructions!$C$168</definedName>
    <definedName name="DataEntryOtherInfol19">Instructions!$C$169</definedName>
    <definedName name="DataEntryOtherInfol1Continued">Instructions!$C$154</definedName>
    <definedName name="DataEntryOtherInfol2">Instructions!$C$155</definedName>
    <definedName name="DataEntryOtherInfol21">Instructions!$C$170</definedName>
    <definedName name="DataEntryOtherInfol22">Instructions!$C$171</definedName>
    <definedName name="DataEntryOtherInfol3">Instructions!$C$156</definedName>
    <definedName name="DataEntryOtherInfol4">Instructions!$C$157</definedName>
    <definedName name="DataEntryOtherInfol5">Instructions!$C$159</definedName>
    <definedName name="DataEntryOtherInfol6">Instructions!$C$161</definedName>
    <definedName name="DataEntryOtherInfol7">Instructions!$C$162</definedName>
    <definedName name="DataEntryOtherInfol9">Instructions!$C$163</definedName>
    <definedName name="DataEntryTransl1">Instructions!$C$149</definedName>
    <definedName name="DataEntryTransl3">Instructions!$C$151</definedName>
    <definedName name="DataEntryTransl5">Instructions!$C$152</definedName>
    <definedName name="DataEntryType01Infol1">Instructions!$C$173</definedName>
    <definedName name="DataEntryType01Infol2">Instructions!$C$174</definedName>
    <definedName name="DataEntryUSCl1">Instructions!$C$121</definedName>
    <definedName name="DataEntryUSCl2">Instructions!$C$122</definedName>
    <definedName name="DataEntryUSCl345">Instructions!$C$123</definedName>
    <definedName name="DataEntryUSCSCAl10">Instructions!$C$128</definedName>
    <definedName name="DataEntryUSCSCAl11">Instructions!$C$129</definedName>
    <definedName name="DataEntryUSCSCAl12">Instructions!$C$130</definedName>
    <definedName name="DataEntryUSCSCAl13">Instructions!$C$131</definedName>
    <definedName name="DataEntryUSCSCAl14">Instructions!$C$132</definedName>
    <definedName name="DataEntryUSCSCAl15">Instructions!$C$133</definedName>
    <definedName name="DataEntryUSCSCAl16">Instructions!$C$134</definedName>
    <definedName name="DataEntryUSCSCAl17">Instructions!$C$135</definedName>
    <definedName name="DataEntryUSCSCAl18">Instructions!$C$136</definedName>
    <definedName name="DataEntryUSCSCAl19">Instructions!$C$137</definedName>
    <definedName name="DataEntryUSCSCAl20">Instructions!$C$138</definedName>
    <definedName name="DataEntryUSCSCAl21">Instructions!$C$140</definedName>
    <definedName name="DataEntryUSCSCAl23">Instructions!$C$139</definedName>
    <definedName name="DataEntryUSCSCAl7">Instructions!$C$126</definedName>
    <definedName name="DataEntryUSCSCAl720">Instructions!$C$124</definedName>
    <definedName name="DataEntryUSCSCAl9">Instructions!$C$125</definedName>
    <definedName name="DDPJCTEOriginalBudget">'Truth in Tax'!$G$18</definedName>
    <definedName name="DecrTransMOtoEWS">'Page 7'!$J$47</definedName>
    <definedName name="DistrictName">Cover!$C$1</definedName>
    <definedName name="DistrictSystems">Instructions!$C$119</definedName>
    <definedName name="DSL">'BSA55'!$J$81</definedName>
    <definedName name="DSLRCL912">'BSA55'!$L$145</definedName>
    <definedName name="DSLRCLPSD8">'BSA55'!$L$144</definedName>
    <definedName name="DSLRCLTotal">'BSA55'!$L$146</definedName>
    <definedName name="EligibleStudTrans">'Data Entry'!$L$73</definedName>
    <definedName name="EmployeeFTEAdmin">'Summary Page 2'!$E$38</definedName>
    <definedName name="EmployeeFTECertOther">'Summary Page 2'!$E$40</definedName>
    <definedName name="EmployeeFTECertSubtotal">'Summary Page 2'!$E$41</definedName>
    <definedName name="EmployeeFTEClassOther">'Summary Page 2'!$E$45</definedName>
    <definedName name="EmployeeFTEClassSubtotal">'Summary Page 2'!$E$46</definedName>
    <definedName name="EmployeeFTEManagers">'Summary Page 2'!$E$43</definedName>
    <definedName name="EmployeeFTESpecEdStaff">'Summary Page 2'!$E$51</definedName>
    <definedName name="EmployeeFTESpecEdTeacher">'Summary Page 2'!$E$50</definedName>
    <definedName name="EmployeeFTETeachers">'Summary Page 2'!$E$39</definedName>
    <definedName name="EmployeeFTETeachersAides">'Summary Page 2'!$E$44</definedName>
    <definedName name="EmployeeFTETotal">'Summary Page 2'!$E$47</definedName>
    <definedName name="EqualAssist912">'BSA55'!$G$166</definedName>
    <definedName name="EqualAssistPSD8">'BSA55'!$E$166</definedName>
    <definedName name="EqualBase912">'BSA55'!$G$164</definedName>
    <definedName name="EqualBasePSD8">'BSA55'!$E$164</definedName>
    <definedName name="EstDisabilityRM">'Data Entry'!$L$77</definedName>
    <definedName name="EstTaxRateBudgFY">Cover!$Q$13</definedName>
    <definedName name="EstTaxRateBudgFYSumm">'Summary Page 1'!$D$16</definedName>
    <definedName name="ExcessTNTLimit">'Truth in Tax'!$I$26</definedName>
    <definedName name="ExpOUOrigBudg">'Truth in Tax'!$I$18</definedName>
    <definedName name="F001AuditBudg6350">'Page 2'!$O$8</definedName>
    <definedName name="F001Carryforward">'Page 1'!$L$43</definedName>
    <definedName name="F001OtherFinUses">#REF!</definedName>
    <definedName name="F001P100F1000">'Page 1'!$L$8</definedName>
    <definedName name="F001P100F1000O6100">'Page 1'!$F$8</definedName>
    <definedName name="F001P100F1000O6200">'Page 1'!$G$8</definedName>
    <definedName name="F001P100F1000O630064006500">'Page 1'!$H$8</definedName>
    <definedName name="F001P100F1000O6600">'Page 1'!$I$8</definedName>
    <definedName name="F001P100F1000O6800">'Page 1'!$J$8</definedName>
    <definedName name="F001P100F1000OthBudgFY">'Summary Page 1'!$F$33</definedName>
    <definedName name="F001P100F1000Personnel">'Page 1'!$E$8</definedName>
    <definedName name="F001P100F1000SBBudgFY">'Summary Page 1'!$D$33</definedName>
    <definedName name="F001P100F1000TotBudgFY">'Summary Page 1'!$H$33</definedName>
    <definedName name="F001P100F2100">'Page 1'!$L$10</definedName>
    <definedName name="F001P100F2100O6100">'Page 1'!$F$10</definedName>
    <definedName name="F001P100F2100O6200">'Page 1'!$G$10</definedName>
    <definedName name="F001P100F2100O630064006500">'Page 1'!$H$10</definedName>
    <definedName name="F001P100F2100O6600">'Page 1'!$I$10</definedName>
    <definedName name="F001P100F2100O6800">'Page 1'!$J$10</definedName>
    <definedName name="F001P100F2100OthBudgFY">'Summary Page 1'!$F$35</definedName>
    <definedName name="F001P100F2100Personnel">'Page 1'!$E$10</definedName>
    <definedName name="F001P100F2100SBBudgFY">'Summary Page 1'!$D$35</definedName>
    <definedName name="F001P100F2100TotBudgFY">'Summary Page 1'!$H$35</definedName>
    <definedName name="F001P100F2200">'Page 1'!$L$11</definedName>
    <definedName name="F001P100F2200O6100">'Page 1'!$F$11</definedName>
    <definedName name="F001P100F2200O6200">'Page 1'!$G$11</definedName>
    <definedName name="F001P100F2200O630064006500">'Page 1'!$H$11</definedName>
    <definedName name="F001P100F2200O6600">'Page 1'!$I$11</definedName>
    <definedName name="F001P100F2200O6800">'Page 1'!$J$11</definedName>
    <definedName name="F001P100F2200OthBudgFY">'Summary Page 1'!$F$36</definedName>
    <definedName name="F001P100F2200Personnel">'Page 1'!$E$11</definedName>
    <definedName name="F001P100F2200SBBudgFY">'Summary Page 1'!$D$36</definedName>
    <definedName name="F001P100F2200TotBudgFY">'Summary Page 1'!$H$36</definedName>
    <definedName name="F001P100F2300">'Page 1'!$L$12</definedName>
    <definedName name="F001P100F230024002500OthBudgFY">'Summary Page 1'!$F$37</definedName>
    <definedName name="F001P100F230024002500SBBudgFY">'Summary Page 1'!$D$37</definedName>
    <definedName name="F001P100F230024002500TotBudgFY">'Summary Page 1'!$H$37</definedName>
    <definedName name="F001P100F2300O6100">'Page 1'!$F$12</definedName>
    <definedName name="F001P100F2300O6200">'Page 1'!$G$12</definedName>
    <definedName name="F001P100F2300O630064006500">'Page 1'!$H$12</definedName>
    <definedName name="F001P100F2300O6600">'Page 1'!$I$12</definedName>
    <definedName name="F001P100F2300O6800">'Page 1'!$J$12</definedName>
    <definedName name="F001P100F2300Personnel">'Page 1'!$E$12</definedName>
    <definedName name="F001P100F2400">'Page 1'!$L$13</definedName>
    <definedName name="F001P100F2400O6100">'Page 1'!$F$13</definedName>
    <definedName name="F001P100F2400O6200">'Page 1'!$G$13</definedName>
    <definedName name="F001P100F2400O630064006500">'Page 1'!$H$13</definedName>
    <definedName name="F001P100F2400O6600">'Page 1'!$I$13</definedName>
    <definedName name="F001P100F2400O6800">'Page 1'!$J$13</definedName>
    <definedName name="F001P100F2400Personnel">'Page 1'!$E$13</definedName>
    <definedName name="F001P100F2500">'Page 1'!$L$14</definedName>
    <definedName name="F001P100F2500O6100">'Page 1'!$F$14</definedName>
    <definedName name="F001P100F2500O6200">'Page 1'!$G$14</definedName>
    <definedName name="F001P100F2500O630064006500">'Page 1'!$H$14</definedName>
    <definedName name="F001P100F2500O6600">'Page 1'!$I$14</definedName>
    <definedName name="F001P100F2500O6800">'Page 1'!$J$14</definedName>
    <definedName name="F001P100F2500Personnel">'Page 1'!$E$14</definedName>
    <definedName name="F001P100F2600">'Page 1'!$L$15</definedName>
    <definedName name="F001P100F2600O6100">'Page 1'!$F$15</definedName>
    <definedName name="F001P100F2600O6200">'Page 1'!$G$15</definedName>
    <definedName name="F001P100F2600O630064006500">'Page 1'!$H$15</definedName>
    <definedName name="F001P100F2600O6600">'Page 1'!$I$15</definedName>
    <definedName name="F001P100F2600O6800">'Page 1'!$J$15</definedName>
    <definedName name="F001P100F2600OthBudgFY">'Summary Page 1'!$F$38</definedName>
    <definedName name="F001P100F2600Personnel">'Page 1'!$E$15</definedName>
    <definedName name="F001P100F2600SBBudgFY">'Summary Page 1'!$D$38</definedName>
    <definedName name="F001P100F2600TotBudgFY">'Summary Page 1'!$H$38</definedName>
    <definedName name="F001P100F2900">'Page 1'!$L$16</definedName>
    <definedName name="F001P100F2900O6100">'Page 1'!$F$16</definedName>
    <definedName name="F001P100F2900O6200">'Page 1'!$G$16</definedName>
    <definedName name="F001P100F2900O630064006500">'Page 1'!$H$16</definedName>
    <definedName name="F001P100F2900O6600">'Page 1'!$I$16</definedName>
    <definedName name="F001P100F2900O6800">'Page 1'!$J$16</definedName>
    <definedName name="F001P100F2900OthBudgFY">'Summary Page 1'!$F$39</definedName>
    <definedName name="F001P100F2900Personnel">'Page 1'!$E$16</definedName>
    <definedName name="F001P100F2900SBBudgFY">'Summary Page 1'!$D$39</definedName>
    <definedName name="F001P100F2900TotBudgFY">'Summary Page 1'!$H$39</definedName>
    <definedName name="F001P100F3000">'Page 1'!$L$17</definedName>
    <definedName name="F001P100F3000O6100">'Page 1'!$F$17</definedName>
    <definedName name="F001P100F3000O6200">'Page 1'!$G$17</definedName>
    <definedName name="F001P100F3000O630064006500">'Page 1'!$H$17</definedName>
    <definedName name="F001P100F3000O6600">'Page 1'!$I$17</definedName>
    <definedName name="F001P100F3000O6800">'Page 1'!$J$17</definedName>
    <definedName name="F001P100F3000OthBudgFY">'Summary Page 1'!$F$40</definedName>
    <definedName name="F001P100F3000Personnel">'Page 1'!$E$17</definedName>
    <definedName name="F001P100F3000SBBudgFY">'Summary Page 1'!$D$40</definedName>
    <definedName name="F001P100F3000TotBudgFY">'Summary Page 1'!$H$40</definedName>
    <definedName name="F001P100TotActExp">#REF!</definedName>
    <definedName name="F001P100TotBudgExp">#REF!</definedName>
    <definedName name="F001P200F1000">'Page 1'!$L$24</definedName>
    <definedName name="F001P200F1000O6100">'Page 1'!$F$24</definedName>
    <definedName name="F001P200F1000O6200">'Page 1'!$G$24</definedName>
    <definedName name="F001P200F1000O630064006500">'Page 1'!$H$24</definedName>
    <definedName name="F001P200F1000O6600">'Page 1'!$I$24</definedName>
    <definedName name="F001P200F1000O6800">'Page 1'!$J$24</definedName>
    <definedName name="F001P200F1000OthBudgFY">'Summary Page 1'!$F$46</definedName>
    <definedName name="F001P200F1000Personnel">'Page 1'!$E$24</definedName>
    <definedName name="F001P200F1000SBBudgFY">'Summary Page 1'!$D$46</definedName>
    <definedName name="F001P200F1000TotBudgFY">'Summary Page 1'!$H$46</definedName>
    <definedName name="F001P200F2100">'Page 1'!$L$26</definedName>
    <definedName name="F001P200F2100O6100">'Page 1'!$F$26</definedName>
    <definedName name="F001P200F2100O6200">'Page 1'!$G$26</definedName>
    <definedName name="F001P200F2100O630064006500">'Page 1'!$H$26</definedName>
    <definedName name="F001P200F2100O6600">'Page 1'!$I$26</definedName>
    <definedName name="F001P200F2100O6800">'Page 1'!$J$26</definedName>
    <definedName name="F001P200F2100OthBudgFY">'Summary Page 1'!$F$48</definedName>
    <definedName name="F001P200F2100Personnel">'Page 1'!$E$26</definedName>
    <definedName name="F001P200F2100SBBudgFY">'Summary Page 1'!$D$48</definedName>
    <definedName name="F001P200F2200">'Page 1'!$L$27</definedName>
    <definedName name="F001P200F2200O6100">'Page 1'!$F$27</definedName>
    <definedName name="F001P200F2200O6200">'Page 1'!$G$27</definedName>
    <definedName name="F001P200F2200O630064006500">'Page 1'!$H$27</definedName>
    <definedName name="F001P200F2200O6600">'Page 1'!$I$27</definedName>
    <definedName name="F001P200F2200O6800">'Page 1'!$J$27</definedName>
    <definedName name="F001P200F2200OthBudgFY">'Summary Page 1'!$F$49</definedName>
    <definedName name="F001P200F2200Personnel">'Page 1'!$E$27</definedName>
    <definedName name="F001P200F2200SBBudgFY">'Summary Page 1'!$D$49</definedName>
    <definedName name="F001P200F2200TotBudgFy">'Summary Page 1'!$H$49</definedName>
    <definedName name="F001P200F2300">'Page 1'!$L$28</definedName>
    <definedName name="F001P200F230024002500OthBudgFY">'Summary Page 1'!$F$50</definedName>
    <definedName name="F001P200F230024002500SBBudgFY">'Summary Page 1'!$D$50</definedName>
    <definedName name="F001P200F230024002500TotBudgFY">'Summary Page 1'!$H$50</definedName>
    <definedName name="F001P200F2300O6100">'Page 1'!$F$28</definedName>
    <definedName name="F001P200F2300O6200">'Page 1'!$G$28</definedName>
    <definedName name="F001P200F2300O630064006500">'Page 1'!$H$28</definedName>
    <definedName name="F001P200F2300O6600">'Page 1'!$I$28</definedName>
    <definedName name="F001P200F2300O6800">'Page 1'!$J$28</definedName>
    <definedName name="F001P200F2300Personnel">'Page 1'!$E$28</definedName>
    <definedName name="F001P200F2400">'Page 1'!$L$29</definedName>
    <definedName name="F001P200F2400O6100">'Page 1'!$F$29</definedName>
    <definedName name="F001P200F2400O6200">'Page 1'!$G$29</definedName>
    <definedName name="F001P200F2400O630064006500">'Page 1'!$H$29</definedName>
    <definedName name="F001P200F2400O6600">'Page 1'!$I$29</definedName>
    <definedName name="F001P200F2400O6800">'Page 1'!$J$29</definedName>
    <definedName name="F001P200F2400Personnel">'Page 1'!$E$29</definedName>
    <definedName name="F001P200F2500">'Page 1'!$L$30</definedName>
    <definedName name="F001P200F2500O6100">'Page 1'!$F$30</definedName>
    <definedName name="F001P200F2500O6200">'Page 1'!$G$30</definedName>
    <definedName name="F001P200F2500O630064006500">'Page 1'!$H$30</definedName>
    <definedName name="F001P200F2500O6600">'Page 1'!$I$30</definedName>
    <definedName name="F001P200F2500O6800">'Page 1'!$J$30</definedName>
    <definedName name="F001P200F2500Personnel">'Page 1'!$E$30</definedName>
    <definedName name="F001P200F2600">'Page 1'!$L$31</definedName>
    <definedName name="F001P200F2600O6100">'Page 1'!$F$31</definedName>
    <definedName name="F001P200F2600O6200">'Page 1'!$G$31</definedName>
    <definedName name="F001P200F2600O630064006500">'Page 1'!$H$31</definedName>
    <definedName name="F001P200F2600O6600">'Page 1'!$I$31</definedName>
    <definedName name="F001P200F2600O6800">'Page 1'!$J$31</definedName>
    <definedName name="F001P200F2600OthBudgFY">'Summary Page 1'!$F$51</definedName>
    <definedName name="F001P200F2600Personnel">'Page 1'!$E$31</definedName>
    <definedName name="F001P200F2600SBBudgFY">'Summary Page 1'!$D$51</definedName>
    <definedName name="F001P200F2600TotBudgFY">'Summary Page 1'!$H$51</definedName>
    <definedName name="F001P200F2900">'Page 1'!$L$32</definedName>
    <definedName name="F001P200F2900O6100">'Page 1'!$F$32</definedName>
    <definedName name="F001P200F2900O6200">'Page 1'!$G$32</definedName>
    <definedName name="F001P200F2900O630064006500">'Page 1'!$H$32</definedName>
    <definedName name="F001P200F2900O6600">'Page 1'!$I$32</definedName>
    <definedName name="F001P200F2900O6800">'Page 1'!$J$32</definedName>
    <definedName name="F001P200F2900OthBudgFY">'Summary Page 1'!$F$52</definedName>
    <definedName name="F001P200F2900Personnel">'Page 1'!$E$32</definedName>
    <definedName name="F001P200F2900SBBudgFY">'Summary Page 1'!$D$52</definedName>
    <definedName name="F001P200F2900TotBudgFY">'Summary Page 1'!$H$52</definedName>
    <definedName name="F001P200F3000">'Page 1'!$L$33</definedName>
    <definedName name="F001P200F3000O6100">'Page 1'!$F$33</definedName>
    <definedName name="F001P200F3000O6200">'Page 1'!$G$33</definedName>
    <definedName name="F001P200F3000O630064006500">'Page 1'!$H$33</definedName>
    <definedName name="F001P200F3000O6600">'Page 1'!$I$33</definedName>
    <definedName name="F001P200F3000O6800">'Page 1'!$J$33</definedName>
    <definedName name="F001P200F3000OthBudgFY">'Summary Page 1'!$F$53</definedName>
    <definedName name="F001P200F3000Personnel">'Page 1'!$E$33</definedName>
    <definedName name="F001P200F3000SBBudgFY">'Summary Page 1'!$D$53</definedName>
    <definedName name="F001P200F3000TotBudgFY">'Summary Page 1'!$H$53</definedName>
    <definedName name="F001P200F510TotBudgFY">'Summary Page 1'!$H$56</definedName>
    <definedName name="F001P200PYDisabilityTot">'Page 2'!$F$7</definedName>
    <definedName name="F001P200Subtotal">'Page 2'!$G$7</definedName>
    <definedName name="F001P200TotActExp">#REF!</definedName>
    <definedName name="F001P200TotBudgExp">#REF!</definedName>
    <definedName name="F001P200TotBudgFY">'Page 1'!$L$34</definedName>
    <definedName name="F001P400">'Page 1'!$L$35</definedName>
    <definedName name="F001P400O6100">'Page 1'!$F$35</definedName>
    <definedName name="F001P400O6200">'Page 1'!$G$35</definedName>
    <definedName name="F001P400O630064006500">'Page 1'!$H$35</definedName>
    <definedName name="F001P400O6600">'Page 1'!$I$35</definedName>
    <definedName name="F001P400O6800">'Page 1'!$J$35</definedName>
    <definedName name="F001P400OthBudgFy">'Summary Page 1'!$F$55</definedName>
    <definedName name="F001P400Personnel">'Page 1'!$E$35</definedName>
    <definedName name="F001P400SBBudgFY">'Summary Page 1'!$D$55</definedName>
    <definedName name="F001P400TotBudgExp">#REF!</definedName>
    <definedName name="F001P400TotBudgFY">'Summary Page 1'!$H$55</definedName>
    <definedName name="F001P510">'Page 1'!$L$37</definedName>
    <definedName name="F001P510O6100">'Page 1'!$F$37</definedName>
    <definedName name="F001P510O6200">'Page 1'!$G$37</definedName>
    <definedName name="F001P510O630064006500">'Page 1'!$H$37</definedName>
    <definedName name="F001P510O6600">'Page 1'!$I$37</definedName>
    <definedName name="F001P510O6800">'Page 1'!$J$37</definedName>
    <definedName name="F001P510OthBudgFY">'Summary Page 1'!$F$56</definedName>
    <definedName name="F001P510Personnel">'Page 1'!$E$37</definedName>
    <definedName name="F001P510SBBudgFY">'Summary Page 1'!$D$56</definedName>
    <definedName name="F001P510TotBudgExp">#REF!</definedName>
    <definedName name="F001P530">'Page 1'!$L$38</definedName>
    <definedName name="F001P530O6100">'Page 1'!$F$38</definedName>
    <definedName name="F001P530O6200">'Page 1'!$G$38</definedName>
    <definedName name="F001P530O630064006500">'Page 1'!$H$38</definedName>
    <definedName name="F001P530O6600">'Page 1'!$I$38</definedName>
    <definedName name="F001P530O6800">'Page 1'!$J$38</definedName>
    <definedName name="F001P530OthBudgFY">'Summary Page 1'!$F$57</definedName>
    <definedName name="F001P530Personnel">'Page 1'!$E$38</definedName>
    <definedName name="F001P530SBBudgFY">'Summary Page 1'!$D$57</definedName>
    <definedName name="F001P530TotActExp">#REF!</definedName>
    <definedName name="F001P530TotBudgExp">#REF!</definedName>
    <definedName name="F001P530TotBudgFY">'Summary Page 1'!$H$57</definedName>
    <definedName name="F001P540">'Page 1'!$L$40</definedName>
    <definedName name="F001P540O6100">'Page 1'!$F$40</definedName>
    <definedName name="F001P540O6200">'Page 1'!$G$40</definedName>
    <definedName name="F001P540O630064006500">'Page 1'!$H$40</definedName>
    <definedName name="F001P540O6600">'Page 1'!$I$40</definedName>
    <definedName name="F001P540O6800">'Page 1'!$J$40</definedName>
    <definedName name="F001P540OthBudgFY">'Summary Page 1'!$F$59</definedName>
    <definedName name="F001P540Personnel">'Page 1'!$E$40</definedName>
    <definedName name="F001P540SBBudgFY">'Summary Page 1'!$D$59</definedName>
    <definedName name="F001P540TotBudgExp">#REF!</definedName>
    <definedName name="F001P540TotBudgFY">'Summary Page 1'!$H$59</definedName>
    <definedName name="F001P550">'Page 1'!$L$41</definedName>
    <definedName name="F001P550O6100">'Page 1'!$F$41</definedName>
    <definedName name="F001P550O6200">'Page 1'!$G$41</definedName>
    <definedName name="F001P550O630064006500">'Page 1'!$H$41</definedName>
    <definedName name="F001P550O6600">'Page 1'!$I$41</definedName>
    <definedName name="F001P550O6800">'Page 1'!$J$41</definedName>
    <definedName name="F001P550OthBudgFY">'Summary Page 1'!$F$60</definedName>
    <definedName name="F001P550Personnel">'Page 1'!$E$41</definedName>
    <definedName name="F001P550SBBudgFY">'Summary Page 1'!$D$60</definedName>
    <definedName name="F001P550TotActExp">#REF!</definedName>
    <definedName name="F001P550TotBudgExp">#REF!</definedName>
    <definedName name="F001P550TotBudgFY">'Summary Page 1'!$H$60</definedName>
    <definedName name="F001P610">'Page 1'!$L$18</definedName>
    <definedName name="F001P610O6100">'Page 1'!$F$18</definedName>
    <definedName name="F001P610O6200">'Page 1'!$G$18</definedName>
    <definedName name="F001P610O630064006500">'Page 1'!$H$18</definedName>
    <definedName name="F001P610O6600">'Page 1'!$I$18</definedName>
    <definedName name="F001P610O6800">'Page 1'!$J$18</definedName>
    <definedName name="F001P610OthBudgFY">'Summary Page 1'!$F$41</definedName>
    <definedName name="F001P610Personnel">'Page 1'!$E$18</definedName>
    <definedName name="F001P610SBBudgFY">'Summary Page 1'!$D$41</definedName>
    <definedName name="F001P610TotBudgFY">'Summary Page 1'!$H$41</definedName>
    <definedName name="F001P620">'Page 1'!$L$19</definedName>
    <definedName name="F001P620O6100">'Page 1'!$F$19</definedName>
    <definedName name="F001P620O6200">'Page 1'!$G$19</definedName>
    <definedName name="F001P620O630064006500">'Page 1'!$H$19</definedName>
    <definedName name="F001P620O6600">'Page 1'!$I$19</definedName>
    <definedName name="F001P620O6800">'Page 1'!$J$19</definedName>
    <definedName name="F001P620OthBudgFY">'Summary Page 1'!$F$42</definedName>
    <definedName name="F001P620Personnel">'Page 1'!$E$19</definedName>
    <definedName name="F001P620SBBudgFY">'Summary Page 1'!$D$42</definedName>
    <definedName name="F001P620TotBudgFY">'Summary Page 1'!$H$42</definedName>
    <definedName name="F001P630">'Page 1'!$L$20</definedName>
    <definedName name="F001P630700800900OthBudgFY">'Summary Page 1'!$F$43</definedName>
    <definedName name="F001P630700800900SBBudgFY">'Summary Page 1'!$D$43</definedName>
    <definedName name="F001P630700800900TotBudgFY">'Summary Page 1'!$H$43</definedName>
    <definedName name="F001P630O6100">'Page 1'!$F$20</definedName>
    <definedName name="F001P630O6200">'Page 1'!$G$20</definedName>
    <definedName name="F001P630O630064006500">'Page 1'!$H$20</definedName>
    <definedName name="F001P630O6600">'Page 1'!$I$20</definedName>
    <definedName name="F001P630O6800">'Page 1'!$J$20</definedName>
    <definedName name="F001P630Personnel">'Page 1'!$E$20</definedName>
    <definedName name="F001P700800900">'Page 1'!$L$21</definedName>
    <definedName name="F001P700800900O6100">'Page 1'!$F$21</definedName>
    <definedName name="F001P700800900O6200">'Page 1'!$G$21</definedName>
    <definedName name="F001P700800900O630064006500">'Page 1'!$H$21</definedName>
    <definedName name="F001P700800900O6600">'Page 1'!$I$21</definedName>
    <definedName name="F001P700800900O6800">'Page 1'!$J$21</definedName>
    <definedName name="F001P700800900Personnel">'Page 1'!$E$21</definedName>
    <definedName name="F001TOTALBUDGEXP">#REF!</definedName>
    <definedName name="F001TotalExp">'Page 1'!$L$42</definedName>
    <definedName name="F001TotalExpSumm">'Summary Page 1'!$B$22</definedName>
    <definedName name="F001TotExpCurrFY">'Page 1'!$K$42</definedName>
    <definedName name="F001TotRev">#REF!</definedName>
    <definedName name="F001TransIn">#REF!</definedName>
    <definedName name="F010Carryforward">'Page 3'!$K$15</definedName>
    <definedName name="F010F1000">'Page 3'!$K$6</definedName>
    <definedName name="F010F2100">'Page 3'!$K$7</definedName>
    <definedName name="F010F2200">'Page 3'!$K$8</definedName>
    <definedName name="F010F2310">'Page 3'!$K$9</definedName>
    <definedName name="F010F2510">'Page 3'!$K$10</definedName>
    <definedName name="F010F3300">'Page 3'!$K$11</definedName>
    <definedName name="F010F4000">'Page 3'!$K$12</definedName>
    <definedName name="F010F5000">'Page 3'!$K$13</definedName>
    <definedName name="F010TotalExp">'Page 3'!$K$14</definedName>
    <definedName name="F010TotalExpPY">'Page 3'!$J$14</definedName>
    <definedName name="F020ActExp">#REF!</definedName>
    <definedName name="F020ActRev">#REF!</definedName>
    <definedName name="F020BegFunBal">#REF!</definedName>
    <definedName name="F020BudgExp">#REF!</definedName>
    <definedName name="F020ClassSizeRedBudgFY">'Page 6'!$J$44</definedName>
    <definedName name="F020DropPrevProgBudgFY">'Page 6'!$J$45</definedName>
    <definedName name="F020InstrImprProgBudgFY">'Page 6'!$J$46</definedName>
    <definedName name="F020TeachCompIncrBudgFY">'Page 6'!$J$43</definedName>
    <definedName name="F020TotBudgFY">'Page 6'!$J$47</definedName>
    <definedName name="F020TotCurrFY">'Page 6'!$I$47</definedName>
    <definedName name="F050ActExp">#REF!</definedName>
    <definedName name="F050ActRev">#REF!</definedName>
    <definedName name="F050BegFunBal">#REF!</definedName>
    <definedName name="F050BudgExp">#REF!</definedName>
    <definedName name="F050BudgFY">'Page 6'!$T$5</definedName>
    <definedName name="F050CurrFY">'Page 6'!$S$5</definedName>
    <definedName name="F050Transf">#REF!</definedName>
    <definedName name="F071ActExp">#REF!</definedName>
    <definedName name="F071ActRev">#REF!</definedName>
    <definedName name="F071BegFunBal">#REF!</definedName>
    <definedName name="F071BudgExp">#REF!</definedName>
    <definedName name="F071BudgFY">Supplement!$M$18</definedName>
    <definedName name="F071CurrFY">Supplement!$L$18</definedName>
    <definedName name="F071F1000">Supplement!$M$8</definedName>
    <definedName name="F071F1000Personnel">Supplement!$E$8</definedName>
    <definedName name="F071F2100">Supplement!$M$10</definedName>
    <definedName name="F071F2100Personnel">Supplement!$E$10</definedName>
    <definedName name="F071F2200">Supplement!$M$11</definedName>
    <definedName name="F071F2200Personnel">Supplement!$E$11</definedName>
    <definedName name="F071F2300">Supplement!$M$12</definedName>
    <definedName name="F071F2300Personnel">Supplement!$E$12</definedName>
    <definedName name="F071F2400">Supplement!$M$13</definedName>
    <definedName name="F071F2400Personnel">Supplement!$E$13</definedName>
    <definedName name="F071F2500">Supplement!$M$14</definedName>
    <definedName name="F071F2500Personnel">Supplement!$E$14</definedName>
    <definedName name="F071F2600">Supplement!$M$15</definedName>
    <definedName name="F071F2600Personnel">Supplement!$E$15</definedName>
    <definedName name="F071F2700">Supplement!$M$16</definedName>
    <definedName name="F071F2700Personnel">Supplement!$E$16</definedName>
    <definedName name="F071F2900">Supplement!$M$17</definedName>
    <definedName name="F071F2900Personnel">Supplement!$E$17</definedName>
    <definedName name="F071OFSOFU">#REF!</definedName>
    <definedName name="F071TOTALEXP">#REF!</definedName>
    <definedName name="F072ActExp">#REF!</definedName>
    <definedName name="F072ActRev">#REF!</definedName>
    <definedName name="F072BegFunBal">#REF!</definedName>
    <definedName name="F072BudgExp">#REF!</definedName>
    <definedName name="F072BudgFY">Supplement!$M$30</definedName>
    <definedName name="F072CurrFY">Supplement!$L$30</definedName>
    <definedName name="F072F1000">Supplement!$M$20</definedName>
    <definedName name="F072F1000Personnel">Supplement!$E$20</definedName>
    <definedName name="F072F2100">Supplement!$M$22</definedName>
    <definedName name="F072F2100Personnel">Supplement!$E$22</definedName>
    <definedName name="F072F2200">Supplement!$M$23</definedName>
    <definedName name="F072F2200Personnel">Supplement!$E$23</definedName>
    <definedName name="F072F2300">Supplement!$M$24</definedName>
    <definedName name="F072F2300Personnel">Supplement!$E$24</definedName>
    <definedName name="F072F2400">Supplement!$M$25</definedName>
    <definedName name="F072F2400Personnel">Supplement!$E$25</definedName>
    <definedName name="F072F2500">Supplement!$M$26</definedName>
    <definedName name="F072F2500Personnel">Supplement!$E$26</definedName>
    <definedName name="F072F2600">Supplement!$M$27</definedName>
    <definedName name="F072F2600Personnel">Supplement!$E$27</definedName>
    <definedName name="F072F2700">Supplement!$M$28</definedName>
    <definedName name="F072F2700Personnel">Supplement!$E$28</definedName>
    <definedName name="F072F2900">Supplement!$M$29</definedName>
    <definedName name="F072F2900Personnel">Supplement!$E$29</definedName>
    <definedName name="F072OFSOFU">#REF!</definedName>
    <definedName name="F072TOTALEXP">#REF!</definedName>
    <definedName name="F100130BudgFY">'Page 6'!$J$7</definedName>
    <definedName name="F100130Personnel">'Page 6'!$G$7</definedName>
    <definedName name="F100P200F2100TotBudgFY">'Summary Page 1'!$H$48</definedName>
    <definedName name="F140150BudgFY">'Page 6'!$J$8</definedName>
    <definedName name="F140150Personnel">'Page 6'!$G$8</definedName>
    <definedName name="F160BudgFY">'Page 6'!$J$9</definedName>
    <definedName name="F160Personnel">'Page 6'!$G$9</definedName>
    <definedName name="F170180BudgFY">'Page 6'!$J$10</definedName>
    <definedName name="F170180Personnel">'Page 6'!$G$10</definedName>
    <definedName name="F190BudgFY">'Page 6'!$J$11</definedName>
    <definedName name="F190Personnel">'Page 6'!$G$11</definedName>
    <definedName name="F200BudgFY">'Page 6'!$J$12</definedName>
    <definedName name="F200Personnel">'Page 6'!$G$12</definedName>
    <definedName name="F210BudgFY">'Page 6'!$J$13</definedName>
    <definedName name="F210Personnel">'Page 6'!$G$13</definedName>
    <definedName name="F220BudgFY">'Page 6'!$J$14</definedName>
    <definedName name="F220Personnel">'Page 6'!$G$14</definedName>
    <definedName name="F230BudgFY">'Page 6'!$J$15</definedName>
    <definedName name="F230Personnel">'Page 6'!$G$15</definedName>
    <definedName name="F240BudgFY">'Page 6'!$J$16</definedName>
    <definedName name="F240Personnel">'Page 6'!$G$16</definedName>
    <definedName name="F250BudgFY">'Page 6'!$J$17</definedName>
    <definedName name="F250Personnel">'Page 6'!$G$17</definedName>
    <definedName name="F260270BudgFY">'Page 6'!$J$18</definedName>
    <definedName name="F260270Personnel">'Page 6'!$G$18</definedName>
    <definedName name="F280BudgFY">'Page 6'!$J$19</definedName>
    <definedName name="F280Personnel">'Page 6'!$G$19</definedName>
    <definedName name="F290BudgFY">'Page 6'!$J$20</definedName>
    <definedName name="F290Personnel">'Page 6'!$G$20</definedName>
    <definedName name="F300399OtherBudgFY">'Page 6'!$J$25</definedName>
    <definedName name="F300399OtherPersonnel">'Page 6'!$G$25</definedName>
    <definedName name="F349BudFY">'Page 6'!$J$21</definedName>
    <definedName name="F349Personnel">'Page 6'!$G$21</definedName>
    <definedName name="F353BudgFY">'Page 6'!$J$22</definedName>
    <definedName name="F353Personnel">'Page 6'!$G$22</definedName>
    <definedName name="F374BudgFY">'Page 6'!$J$23</definedName>
    <definedName name="F374Personnel">'Page 6'!$G$23</definedName>
    <definedName name="F378BudgFY">'Page 6'!$J$24</definedName>
    <definedName name="F378Personnel">'Page 6'!$G$24</definedName>
    <definedName name="F400BudgFY">'Page 6'!$J$29</definedName>
    <definedName name="F400Personnel">'Page 6'!$G$29</definedName>
    <definedName name="F410BudgFY">'Page 6'!$J$30</definedName>
    <definedName name="F410Personnel">'Page 6'!$G$30</definedName>
    <definedName name="F420BudgFY">'Page 6'!$J$31</definedName>
    <definedName name="F420Personnel">'Page 6'!$G$31</definedName>
    <definedName name="F425BudgFY">'Page 6'!$J$32</definedName>
    <definedName name="F425Personnel">'Page 6'!$G$32</definedName>
    <definedName name="F430BudgFY">'Page 6'!$J$33</definedName>
    <definedName name="F430Personnel">'Page 6'!$G$33</definedName>
    <definedName name="F435BudgFY">'Page 6'!$J$34</definedName>
    <definedName name="F435Personnel">'Page 6'!$G$34</definedName>
    <definedName name="F450BudgFY">'Page 6'!$J$35</definedName>
    <definedName name="F450Personnel">'Page 6'!$G$35</definedName>
    <definedName name="F456BudgFY">'Page 6'!$J$36</definedName>
    <definedName name="F456Personnel">'Page 6'!$G$36</definedName>
    <definedName name="F460BudgFY">'Page 6'!$J$37</definedName>
    <definedName name="F460Personnel">'Page 6'!$G$37</definedName>
    <definedName name="F465499BudgFY">'Page 6'!$J$38</definedName>
    <definedName name="F465499Personnel">'Page 6'!$G$38</definedName>
    <definedName name="F500ActExp">#REF!</definedName>
    <definedName name="F500ActRev">#REF!</definedName>
    <definedName name="F500BegFunBal">#REF!</definedName>
    <definedName name="F500BudgExp">#REF!</definedName>
    <definedName name="F500BudgFY">'Page 6'!$T$8</definedName>
    <definedName name="F500CurrFY">'Page 6'!$S$8</definedName>
    <definedName name="F500Transf">#REF!</definedName>
    <definedName name="F510BudgFY">'Page 6'!$T$9</definedName>
    <definedName name="F510CurrFY">'Page 6'!$S$9</definedName>
    <definedName name="F515ActExp">#REF!</definedName>
    <definedName name="F515ActRev">#REF!</definedName>
    <definedName name="F515BegFunBal">#REF!</definedName>
    <definedName name="F515BudgExp">#REF!</definedName>
    <definedName name="F515BudgFY">'Page 6'!$T$10</definedName>
    <definedName name="F515CurrFY">'Page 6'!$S$10</definedName>
    <definedName name="F515Transf">#REF!</definedName>
    <definedName name="F520ActExp">#REF!</definedName>
    <definedName name="F520ActRev">#REF!</definedName>
    <definedName name="F520BegFunBal">#REF!</definedName>
    <definedName name="F520BudgExp">#REF!</definedName>
    <definedName name="F520BudgFY">'Page 6'!$T$11</definedName>
    <definedName name="F520CurrFY">'Page 6'!$S$11</definedName>
    <definedName name="F520Transf">#REF!</definedName>
    <definedName name="F525ActExp">#REF!</definedName>
    <definedName name="F525ActRev">#REF!</definedName>
    <definedName name="F525BegFunBal">#REF!</definedName>
    <definedName name="F525BudgExp">#REF!</definedName>
    <definedName name="F525BudgFY">'Page 6'!$T$12</definedName>
    <definedName name="F525CurrFY">'Page 6'!$S$12</definedName>
    <definedName name="F525Transf">#REF!</definedName>
    <definedName name="F526ActExp">#REF!</definedName>
    <definedName name="F526ActRev">#REF!</definedName>
    <definedName name="F526BegFunBal">#REF!</definedName>
    <definedName name="F526BudgExp">#REF!</definedName>
    <definedName name="F526BudgFY">'Page 6'!$T$13</definedName>
    <definedName name="F526CurrFY">'Page 6'!$S$13</definedName>
    <definedName name="F526Transf">#REF!</definedName>
    <definedName name="F530ActExp">#REF!</definedName>
    <definedName name="F530ActRev">#REF!</definedName>
    <definedName name="F530BegFunBal">#REF!</definedName>
    <definedName name="F530BudgExp">#REF!</definedName>
    <definedName name="F530BudgFY">'Page 6'!$T$14</definedName>
    <definedName name="F530CurrFY">'Page 6'!$S$14</definedName>
    <definedName name="F530Transf">#REF!</definedName>
    <definedName name="F535ActExp">#REF!</definedName>
    <definedName name="F535ActRev">#REF!</definedName>
    <definedName name="F535BegFunBal">#REF!</definedName>
    <definedName name="F535BudgExp">#REF!</definedName>
    <definedName name="F535BudgFY">'Page 6'!$T$15</definedName>
    <definedName name="F535CurrFY">'Page 6'!$S$15</definedName>
    <definedName name="F535Transf">#REF!</definedName>
    <definedName name="F540ActExp">#REF!</definedName>
    <definedName name="F540ActRev">#REF!</definedName>
    <definedName name="F540BegFunBal">#REF!</definedName>
    <definedName name="F540BudgExp">#REF!</definedName>
    <definedName name="F540BudgFY">'Page 6'!$T$16</definedName>
    <definedName name="F540CurrFY">'Page 6'!$S$16</definedName>
    <definedName name="F540Transf">#REF!</definedName>
    <definedName name="F545ActExp">#REF!</definedName>
    <definedName name="F545ActRev">#REF!</definedName>
    <definedName name="F545BegFunBal">#REF!</definedName>
    <definedName name="F545BudgExp">#REF!</definedName>
    <definedName name="F545BudgFY">'Page 6'!$T$17</definedName>
    <definedName name="F545CurrFY">'Page 6'!$S$17</definedName>
    <definedName name="F545Transf">#REF!</definedName>
    <definedName name="F550ActExp">#REF!</definedName>
    <definedName name="F550ActRev">#REF!</definedName>
    <definedName name="F550BegFunBal">#REF!</definedName>
    <definedName name="F550BudgExp">#REF!</definedName>
    <definedName name="F550BudgFY">'Page 6'!$T$18</definedName>
    <definedName name="F550CurrFY">'Page 6'!$S$18</definedName>
    <definedName name="F550Transf">#REF!</definedName>
    <definedName name="F555ActExp">#REF!</definedName>
    <definedName name="F555ActRev">#REF!</definedName>
    <definedName name="F555BegFunBal">#REF!</definedName>
    <definedName name="F555BudgExp">#REF!</definedName>
    <definedName name="F555BudgFY">'Page 6'!$T$19</definedName>
    <definedName name="F555CurrFY">'Page 6'!$S$19</definedName>
    <definedName name="F555Transf">#REF!</definedName>
    <definedName name="F565ActExp">#REF!</definedName>
    <definedName name="F565ActRev">#REF!</definedName>
    <definedName name="F565BegFunBal">#REF!</definedName>
    <definedName name="F565BudgExp">#REF!</definedName>
    <definedName name="F565BudgFY">'Page 6'!$T$20</definedName>
    <definedName name="F565CurrFY">'Page 6'!$S$20</definedName>
    <definedName name="F565Transf">#REF!</definedName>
    <definedName name="F570ActExp">#REF!</definedName>
    <definedName name="F570ActRev">#REF!</definedName>
    <definedName name="F570BegFunBal">#REF!</definedName>
    <definedName name="F570BudgExp">#REF!</definedName>
    <definedName name="F570BudgFY">'Page 6'!$T$21</definedName>
    <definedName name="F570CurrFY">'Page 6'!$S$21</definedName>
    <definedName name="F570Transf">#REF!</definedName>
    <definedName name="F575ActExp">#REF!</definedName>
    <definedName name="F575ActRev">#REF!</definedName>
    <definedName name="F575BegFunBal">#REF!</definedName>
    <definedName name="F575BudgExp">#REF!</definedName>
    <definedName name="F575BudgFY">'Page 6'!$T$22</definedName>
    <definedName name="F575CurrFY">'Page 6'!$S$22</definedName>
    <definedName name="F575Transf">#REF!</definedName>
    <definedName name="F580ActExp">#REF!</definedName>
    <definedName name="F580ActRev">#REF!</definedName>
    <definedName name="F580BegFunBal">#REF!</definedName>
    <definedName name="F580BudgExp">#REF!</definedName>
    <definedName name="F580BudgFY">'Page 6'!$T$23</definedName>
    <definedName name="F580CurrFY">'Page 6'!$S$23</definedName>
    <definedName name="F580Transf">#REF!</definedName>
    <definedName name="F585ActExp">#REF!</definedName>
    <definedName name="F585ActRev">#REF!</definedName>
    <definedName name="F585BegFunBal">#REF!</definedName>
    <definedName name="F585BudgExp">#REF!</definedName>
    <definedName name="F585BudgFY">'Page 6'!$T$24</definedName>
    <definedName name="F585CurrFY">'Page 6'!$S$24</definedName>
    <definedName name="F585Transf">#REF!</definedName>
    <definedName name="F590ActExp">#REF!</definedName>
    <definedName name="F590ActRev">#REF!</definedName>
    <definedName name="F590BegFunBal">#REF!</definedName>
    <definedName name="F590BudgExp">#REF!</definedName>
    <definedName name="F590BudgFY">'Page 6'!$T$25</definedName>
    <definedName name="F590CurrFY">'Page 6'!$S$25</definedName>
    <definedName name="F590Transf">#REF!</definedName>
    <definedName name="F595ActExp">#REF!</definedName>
    <definedName name="F595ActRev">#REF!</definedName>
    <definedName name="F595BegFunBal">#REF!</definedName>
    <definedName name="F595BudgExp">#REF!</definedName>
    <definedName name="F595BudgFY">'Page 6'!$T$26</definedName>
    <definedName name="F595CurrFY">'Page 6'!$S$26</definedName>
    <definedName name="F595Transf">#REF!</definedName>
    <definedName name="F596ActExp">#REF!</definedName>
    <definedName name="F596ActRev">#REF!</definedName>
    <definedName name="F596BegFunBal">#REF!</definedName>
    <definedName name="F596BudgExp">#REF!</definedName>
    <definedName name="F596BudgFY">'Page 6'!$T$27</definedName>
    <definedName name="F596CurrFY">'Page 6'!$S$27</definedName>
    <definedName name="F596Transf">#REF!</definedName>
    <definedName name="F597ActExp">#REF!</definedName>
    <definedName name="F597ActRev">#REF!</definedName>
    <definedName name="F597BegFunBal">#REF!</definedName>
    <definedName name="F597BudgExp">#REF!</definedName>
    <definedName name="F597BudgFY">'Page 6'!$T$28</definedName>
    <definedName name="F597CurrFY">'Page 6'!$S$28</definedName>
    <definedName name="F597Transf">#REF!</definedName>
    <definedName name="F610BegFunBal">#REF!</definedName>
    <definedName name="F610BudgFYNewConstruction">'Page 5'!$E$24</definedName>
    <definedName name="F610BudgFYO6150">'Page 5'!$E$10</definedName>
    <definedName name="F610BudgFYO6200">'Page 5'!$E$11</definedName>
    <definedName name="F610BudgFYO6450">'Page 5'!$E$12</definedName>
    <definedName name="F610BudgFYO6710">'Page 5'!$E$14</definedName>
    <definedName name="F610BudgFYO6720">'Page 5'!$E$15</definedName>
    <definedName name="F610BudgFYO6731">'Page 5'!$E$16</definedName>
    <definedName name="F610BudgFYO6734">'Page 5'!$E$17</definedName>
    <definedName name="F610BudgFYO6737">'Page 5'!$E$18</definedName>
    <definedName name="F610BudgFYO6831">'Page 5'!$E$19</definedName>
    <definedName name="F610BudgFYO6841">'Page 5'!$E$20</definedName>
    <definedName name="F610BudgFYOther">'Page 5'!$E$25</definedName>
    <definedName name="F610BudgFYRenovation">'Page 5'!$E$23</definedName>
    <definedName name="F610Carryforward">'Page 4'!$L$20</definedName>
    <definedName name="F610F1000">'Page 4'!$L$10</definedName>
    <definedName name="F610F21002200">'Page 4'!$L$12</definedName>
    <definedName name="F610F2300240025002900">'Page 4'!$L$13</definedName>
    <definedName name="F610F2600">'Page 4'!$L$14</definedName>
    <definedName name="F610F2700">'Page 4'!$L$15</definedName>
    <definedName name="F610F3000">'Page 4'!$L$16</definedName>
    <definedName name="F610F4000">'Page 4'!$L$17</definedName>
    <definedName name="F610F5000">'Page 4'!$L$18</definedName>
    <definedName name="F610O6731">'Page 4'!$B$34</definedName>
    <definedName name="F610O6734">'Page 4'!$B$35</definedName>
    <definedName name="F610O6737">'Page 4'!$B$36</definedName>
    <definedName name="F610OtherFinSources">#REF!</definedName>
    <definedName name="F610OtherFinUses">#REF!</definedName>
    <definedName name="F610Override">'Page 4'!$L$8</definedName>
    <definedName name="F610TotActExp">#REF!</definedName>
    <definedName name="F610TotalBudgFY">'Page 4'!$L$19</definedName>
    <definedName name="F610TotalCurrFY">'Page 4'!$K$19</definedName>
    <definedName name="F610TotBudgExp">#REF!</definedName>
    <definedName name="F610TotRev">#REF!</definedName>
    <definedName name="F610TransIn">#REF!</definedName>
    <definedName name="F620BegFunBal">#REF!</definedName>
    <definedName name="F620BudgExp">#REF!</definedName>
    <definedName name="F620BudgFYNewConstruction">'Page 5'!$K$24</definedName>
    <definedName name="F620BudgFYO6150">'Page 5'!$K$10</definedName>
    <definedName name="F620BudgFYO6200">'Page 5'!$K$11</definedName>
    <definedName name="F620BudgFYO6450">'Page 5'!$K$12</definedName>
    <definedName name="F620BudgFYO6710">'Page 5'!$K$14</definedName>
    <definedName name="F620BudgFYO6720">'Page 5'!$K$15</definedName>
    <definedName name="F620BudgFYO6731">'Page 5'!$K$16</definedName>
    <definedName name="F620BudgFYO6734">'Page 5'!$K$17</definedName>
    <definedName name="F620BudgFYO6737">'Page 5'!$K$18</definedName>
    <definedName name="F620BudgFYO6831">'Page 5'!$K$19</definedName>
    <definedName name="F620BudgFYO6841">'Page 5'!$K$20</definedName>
    <definedName name="F620BudgFYOther">'Page 5'!$K$25</definedName>
    <definedName name="F620BudgFYRenovation">'Page 5'!$K$23</definedName>
    <definedName name="F620OtherFinSources">#REF!</definedName>
    <definedName name="F620OtherFinUses">#REF!</definedName>
    <definedName name="F620TotalBudgFY">'Page 5'!$K$8</definedName>
    <definedName name="F620TotalCurrFY">'Page 5'!$J$8</definedName>
    <definedName name="F620TotExp">#REF!</definedName>
    <definedName name="F620TotRev">#REF!</definedName>
    <definedName name="F620TransfIn">#REF!</definedName>
    <definedName name="F630BegFunBal">#REF!</definedName>
    <definedName name="F630BondIssuance">#REF!</definedName>
    <definedName name="F630BudgFYNewConstruction">'Page 5'!$G$24</definedName>
    <definedName name="F630BudgFYO6150">'Page 5'!$G$10</definedName>
    <definedName name="F630BudgFYO6200">'Page 5'!$G$11</definedName>
    <definedName name="F630BudgFYO6450">'Page 5'!$G$12</definedName>
    <definedName name="F630BudgFYO6710">'Page 5'!$G$14</definedName>
    <definedName name="F630BudgFYO6720">'Page 5'!$G$15</definedName>
    <definedName name="F630BudgFYO6731">'Page 5'!$G$16</definedName>
    <definedName name="F630BudgFYO6734">'Page 5'!$G$17</definedName>
    <definedName name="F630BudgFYO6737">'Page 5'!$G$18</definedName>
    <definedName name="F630BudgFYO6831">'Page 5'!$G$19</definedName>
    <definedName name="F630BudgFYO6841">'Page 5'!$G$20</definedName>
    <definedName name="F630BudgFYOther">'Page 5'!$G$25</definedName>
    <definedName name="F630BudgFYRenovation">'Page 5'!$G$23</definedName>
    <definedName name="F630OtherFinSources">#REF!</definedName>
    <definedName name="F630OtherFinUses">#REF!</definedName>
    <definedName name="F630TotalBudgFY">'Page 5'!$G$8</definedName>
    <definedName name="F630TotalCurrFY">'Page 5'!$F$8</definedName>
    <definedName name="F630TotExp">#REF!</definedName>
    <definedName name="F630TotRev">#REF!</definedName>
    <definedName name="F630TransIn">#REF!</definedName>
    <definedName name="F639ActExp">#REF!</definedName>
    <definedName name="F639ActRev">#REF!</definedName>
    <definedName name="F639BegFunBal">#REF!</definedName>
    <definedName name="F639BudgExp">#REF!</definedName>
    <definedName name="F639BudgFY">'Page 6'!$T$29</definedName>
    <definedName name="F639CurrFY">'Page 6'!$S$29</definedName>
    <definedName name="F639Transf">#REF!</definedName>
    <definedName name="F650ActExp">#REF!</definedName>
    <definedName name="F650ActRev">#REF!</definedName>
    <definedName name="F650BegFunBal">#REF!</definedName>
    <definedName name="F650BudgExp">#REF!</definedName>
    <definedName name="F650BudgFY">'Page 6'!$T$30</definedName>
    <definedName name="F650CurrFY">'Page 6'!$S$30</definedName>
    <definedName name="F650Transf">#REF!</definedName>
    <definedName name="F660ActExp">#REF!</definedName>
    <definedName name="F660ActRev">#REF!</definedName>
    <definedName name="F660BegFunBal">#REF!</definedName>
    <definedName name="F660BudgExp">#REF!</definedName>
    <definedName name="F660BudgFY">'Page 6'!$T$31</definedName>
    <definedName name="F660CurrFY">'Page 6'!$S$31</definedName>
    <definedName name="F660Transf">#REF!</definedName>
    <definedName name="F665ActExp">#REF!</definedName>
    <definedName name="F665ActRev">#REF!</definedName>
    <definedName name="F665BegFunBal">#REF!</definedName>
    <definedName name="F665BudgExp">#REF!</definedName>
    <definedName name="F665BudgFY">'Page 6'!$T$32</definedName>
    <definedName name="F665CurrFY">'Page 6'!$S$32</definedName>
    <definedName name="F665Transf">#REF!</definedName>
    <definedName name="F686ActExp">#REF!</definedName>
    <definedName name="F686ActRev">#REF!</definedName>
    <definedName name="F686BegFunBal">#REF!</definedName>
    <definedName name="F686BudgExp">#REF!</definedName>
    <definedName name="F686BudgFY">'Page 6'!$T$33</definedName>
    <definedName name="F686CurrFY">'Page 6'!$S$33</definedName>
    <definedName name="F686Transf">#REF!</definedName>
    <definedName name="F691ActExp">#REF!</definedName>
    <definedName name="F691ActRev">#REF!</definedName>
    <definedName name="F691BegFunBal">#REF!</definedName>
    <definedName name="F691BudgExp">#REF!</definedName>
    <definedName name="F691BudgFY">'Page 6'!$T$34</definedName>
    <definedName name="F691CurrFY">'Page 6'!$S$34</definedName>
    <definedName name="F691Transf">#REF!</definedName>
    <definedName name="F695ActExp">#REF!</definedName>
    <definedName name="F695ActRev">#REF!</definedName>
    <definedName name="F695BegFunBal">#REF!</definedName>
    <definedName name="F695BudgExp">#REF!</definedName>
    <definedName name="F695BudgFYNewConstruction">'Page 5'!$I$24</definedName>
    <definedName name="F695BudgFYO6150">'Page 5'!$I$10</definedName>
    <definedName name="F695BudgFYO6200">'Page 5'!$I$11</definedName>
    <definedName name="F695BudgFYO6450">'Page 5'!$I$12</definedName>
    <definedName name="F695BudgFYO6710">'Page 5'!$I$14</definedName>
    <definedName name="F695BudgFYO6720">'Page 5'!$I$15</definedName>
    <definedName name="F695BudgFYO6731">'Page 5'!$I$16</definedName>
    <definedName name="F695BudgFYO6734">'Page 5'!$I$17</definedName>
    <definedName name="F695BudgFYO6737">'Page 5'!$I$18</definedName>
    <definedName name="F695BudgFYO6831">'Page 5'!$I$19</definedName>
    <definedName name="F695BudgFYO6841">'Page 5'!$I$20</definedName>
    <definedName name="F695BudgFYOther">'Page 5'!$I$25</definedName>
    <definedName name="F695TotalBudgFY">'Page 5'!$I$8</definedName>
    <definedName name="F695TotalCurrFY">'Page 5'!$H$8</definedName>
    <definedName name="F699BudgFY">'Page 6'!$J$26</definedName>
    <definedName name="F699Personnel">'Page 6'!$G$26</definedName>
    <definedName name="F700BegFunBal">#REF!</definedName>
    <definedName name="F700BondIssuance">#REF!</definedName>
    <definedName name="F700BudgFY">'Page 6'!$T$35</definedName>
    <definedName name="F700CurrFY">'Page 6'!$S$35</definedName>
    <definedName name="F700OtherFinSources">#REF!</definedName>
    <definedName name="F700OtherFinUses">#REF!</definedName>
    <definedName name="F700TotExp">#REF!</definedName>
    <definedName name="F700TotRev">#REF!</definedName>
    <definedName name="F700TransIn">#REF!</definedName>
    <definedName name="F720ActExp">#REF!</definedName>
    <definedName name="F720ActRev">#REF!</definedName>
    <definedName name="F720BegFunBal">#REF!</definedName>
    <definedName name="F720BudgExp">#REF!</definedName>
    <definedName name="F720BudgFY">'Page 6'!$T$36</definedName>
    <definedName name="F720CurrFY">'Page 6'!$S$36</definedName>
    <definedName name="F720Transf">#REF!</definedName>
    <definedName name="F750ActExp">#REF!</definedName>
    <definedName name="F750ActRev">#REF!</definedName>
    <definedName name="F750BegFunBal">#REF!</definedName>
    <definedName name="F750BudgExp">#REF!</definedName>
    <definedName name="F750Transf">#REF!</definedName>
    <definedName name="F800_849ActExp">#REF!</definedName>
    <definedName name="F800_849ActRev">#REF!</definedName>
    <definedName name="F800_849BegFunBal">#REF!</definedName>
    <definedName name="F800_849BudgExp">#REF!</definedName>
    <definedName name="F800_849Transf">#REF!</definedName>
    <definedName name="F850ActExp">#REF!</definedName>
    <definedName name="F850ActRev">#REF!</definedName>
    <definedName name="F850BegFunBal">#REF!</definedName>
    <definedName name="F850BudgExp">#REF!</definedName>
    <definedName name="F850BudgFY">'Page 6'!$T$37</definedName>
    <definedName name="F850CurrFY">'Page 6'!$S$37</definedName>
    <definedName name="F850Transf">#REF!</definedName>
    <definedName name="F855ActExp">#REF!</definedName>
    <definedName name="F855ActRev">#REF!</definedName>
    <definedName name="F855BegFunBal">#REF!</definedName>
    <definedName name="F855BudgExp">#REF!</definedName>
    <definedName name="F855Transf">#REF!</definedName>
    <definedName name="F865ActExp">#REF!</definedName>
    <definedName name="F865ActRev">#REF!</definedName>
    <definedName name="F865BegFunBal">#REF!</definedName>
    <definedName name="F865BudgExp">#REF!</definedName>
    <definedName name="F865Transf">#REF!</definedName>
    <definedName name="F9__OPEBBudgFY">'Page 6'!$T$42</definedName>
    <definedName name="F9__OPEBCurrFY">'Page 6'!$S$42</definedName>
    <definedName name="F9__OtherBudgFY">'Page 6'!$T$43</definedName>
    <definedName name="F9__OtherCurrFY">'Page 6'!$S$43</definedName>
    <definedName name="F9__SelfInsBudgFY">'Page 6'!$T$40</definedName>
    <definedName name="F9__SelfInsCurrFY">'Page 6'!$S$40</definedName>
    <definedName name="F900_949ActExp">#REF!</definedName>
    <definedName name="F900_949ActRev">#REF!</definedName>
    <definedName name="F900_949BegFunBal">#REF!</definedName>
    <definedName name="F900_949BudgExp">#REF!</definedName>
    <definedName name="F900_949Transf">#REF!</definedName>
    <definedName name="F955ActExp">#REF!</definedName>
    <definedName name="F955ActRev">#REF!</definedName>
    <definedName name="F955BegFunBal">#REF!</definedName>
    <definedName name="F955BudgExp">#REF!</definedName>
    <definedName name="F955BudgFY">'Page 6'!$T$41</definedName>
    <definedName name="F955CurrFY">'Page 6'!$S$41</definedName>
    <definedName name="F955Transf">#REF!</definedName>
    <definedName name="FedProjActRev">#REF!</definedName>
    <definedName name="FedProjBegFunBal">#REF!</definedName>
    <definedName name="FedProjTotActExp">#REF!</definedName>
    <definedName name="FedProjTotBudgExp">#REF!</definedName>
    <definedName name="FedProjTransf">#REF!</definedName>
    <definedName name="FiscalYear" localSheetId="0">Cover!$E$3</definedName>
    <definedName name="FundBalA1">Instructions!$C$104</definedName>
    <definedName name="FundBalA2a">Instructions!$C$105</definedName>
    <definedName name="FundBalA2b">Instructions!$C$106</definedName>
    <definedName name="FundBalA3a">Instructions!$C$107</definedName>
    <definedName name="FundBalA3b">Instructions!$C$108</definedName>
    <definedName name="FundBalA3c">Instructions!$C$109</definedName>
    <definedName name="FundBalA3d">Instructions!$C$110</definedName>
    <definedName name="FundBalA3e">Instructions!$C$111</definedName>
    <definedName name="FundBalA4a">Instructions!$C$112</definedName>
    <definedName name="FundBalA4b">Instructions!$C$113</definedName>
    <definedName name="FundBalA4c">Instructions!$C$114</definedName>
    <definedName name="FundBalA4d">Instructions!$C$115</definedName>
    <definedName name="FundBalB1">#REF!</definedName>
    <definedName name="FundBalB2">#REF!</definedName>
    <definedName name="FundBalB3">#REF!</definedName>
    <definedName name="FundBalB4">#REF!</definedName>
    <definedName name="FundBalB5">#REF!</definedName>
    <definedName name="FundBalB6">#REF!</definedName>
    <definedName name="FundBalB7">#REF!</definedName>
    <definedName name="FundBalC">Instructions!$C$116</definedName>
    <definedName name="FundBalGen">Instructions!$C$103</definedName>
    <definedName name="FY2018Salary">Cover!$S$40</definedName>
    <definedName name="GBLBudgFY">'Page 7'!$J$54</definedName>
    <definedName name="GBLBudgFYSumm">'Summary Page 1'!$D$22</definedName>
    <definedName name="GPLETV">'Data Entry'!$L$97</definedName>
    <definedName name="HSCountDORtoDOA">'Data Entry'!$L$139</definedName>
    <definedName name="IEPTransportCosts">'Page 2'!$G$19</definedName>
    <definedName name="Incr200Days">'Data Entry'!$E$61</definedName>
    <definedName name="IncreaseTuitionLossAdj">Calculations!$R$214</definedName>
    <definedName name="IncrTeachComp">'Data Entry'!$E$63</definedName>
    <definedName name="IncrTransEWStoMO">'Page 7'!$J$48</definedName>
    <definedName name="ISFOthActExp">#REF!</definedName>
    <definedName name="ISFOthActRev">#REF!</definedName>
    <definedName name="ISFOthBegFunBal">#REF!</definedName>
    <definedName name="ISFOthBudgExp">#REF!</definedName>
    <definedName name="ISFOthTransf">#REF!</definedName>
    <definedName name="JTEDBudgFY">'Page 2'!$G$14</definedName>
    <definedName name="JTEDCurrFY">'Page 2'!$F$14</definedName>
    <definedName name="K3RSLW">'BSA55'!$F$19</definedName>
    <definedName name="K3SLW">'BSA55'!$F$18</definedName>
    <definedName name="LessDSLorRCL912">'BSA55'!$I$145</definedName>
    <definedName name="MOFoodService">Instructions!$C$24</definedName>
    <definedName name="NonAOIGrBAddOnWgtdADM">'BSA55'!$G$35</definedName>
    <definedName name="NonAOIRegEdWgtdADM">'BSA55'!$G$12</definedName>
    <definedName name="NonAOIStudCnt912CY">'Data Entry'!$I$31</definedName>
    <definedName name="NonAOIStudCntDD.ED.MIID.SLD.SLI.OHI">'Data Entry'!$G$50</definedName>
    <definedName name="NonAOIStudCntEDP">'Data Entry'!$G$51</definedName>
    <definedName name="NonAOIStudCntELL">'Data Entry'!$G$40</definedName>
    <definedName name="NonAOIStudCntFRPL">'Data Entry'!$G$54</definedName>
    <definedName name="NonAOIStudCntG">'Data Entry'!$G$55</definedName>
    <definedName name="NonAOIStudCntHI">'Data Entry'!$G$43</definedName>
    <definedName name="NonAOIStudCntK3">'Data Entry'!$G$41</definedName>
    <definedName name="NonAOIStudCntK3R">'Data Entry'!$G$42</definedName>
    <definedName name="NonAOIStudCntK8CY">'Data Entry'!$H$31</definedName>
    <definedName name="NonAOIStudCntMDR.AR.SIDR">'Data Entry'!$G$44</definedName>
    <definedName name="NonAOIStudCntMDRARSIDR">'Data Entry'!$G$44</definedName>
    <definedName name="NonAOIStudCntMDSC.ASC.SIDSC">'Data Entry'!$G$45</definedName>
    <definedName name="NonAOIStudCntMDSCASCSIDSC">'Data Entry'!$G$45</definedName>
    <definedName name="NonAOIStudCntMDSDASCSIDSC">'Data Entry'!$G$44</definedName>
    <definedName name="NonAOIStudCntMDSSI">'Data Entry'!$G$46</definedName>
    <definedName name="NonAOIStudCntMOID">'Data Entry'!$G$52</definedName>
    <definedName name="NonAOIStudCntOIR">'Data Entry'!$G$47</definedName>
    <definedName name="NonAOIStudCntOISC">'Data Entry'!$G$48</definedName>
    <definedName name="NonAOIStudCntP.SD">'Data Entry'!$G$49</definedName>
    <definedName name="NonAOIStudCntPSD">'Data Entry'!$G$49</definedName>
    <definedName name="NonAOIStudCntPSDCY">'Data Entry'!$G$31</definedName>
    <definedName name="NonAOIStudCntVI">'Data Entry'!$G$53</definedName>
    <definedName name="NonFedAuditExp">'Data Entry'!$L$67</definedName>
    <definedName name="OPEBActExp">#REF!</definedName>
    <definedName name="OPEBActRev">#REF!</definedName>
    <definedName name="OPEBBegFunBal">#REF!</definedName>
    <definedName name="OPEBBudgExp">#REF!</definedName>
    <definedName name="OPEBTransf">#REF!</definedName>
    <definedName name="OthActExp">#REF!</definedName>
    <definedName name="OthActRev">#REF!</definedName>
    <definedName name="OthBegFunBal">#REF!</definedName>
    <definedName name="OthBudgExp">#REF!</definedName>
    <definedName name="OtherFundsBudgFY">'Page 6'!$T$38</definedName>
    <definedName name="OtherFundsCurrFY">'Page 6'!$S$38</definedName>
    <definedName name="OthTransf">#REF!</definedName>
    <definedName name="Page1">'Page 1'!$A$1:$N$45</definedName>
    <definedName name="Page10TechTable">"TextBox 1"</definedName>
    <definedName name="Page1l27">Instructions!$C$14</definedName>
    <definedName name="Page1l28">Instructions!$C$15</definedName>
    <definedName name="Page1l29">Instructions!$C$16</definedName>
    <definedName name="Page1l4">Instructions!$C$11</definedName>
    <definedName name="Page1l9">Instructions!$C$13</definedName>
    <definedName name="Page1Line30">Instructions!$C$18</definedName>
    <definedName name="Page1Line32">Instructions!$C$20</definedName>
    <definedName name="Page2">'Page 2'!$A$3:$T$48</definedName>
    <definedName name="Page2l45">Instructions!$C$22</definedName>
    <definedName name="Page2n1">Instructions!$C$21</definedName>
    <definedName name="Page2n2">#REF!</definedName>
    <definedName name="Page2n4">Instructions!$C$24</definedName>
    <definedName name="Page3">'Page 4'!$A$1:$P$41</definedName>
    <definedName name="Page3Gen">Instructions!$C$25</definedName>
    <definedName name="Page3l9">Instructions!$C$27</definedName>
    <definedName name="Page3Line10">Instructions!$C$28</definedName>
    <definedName name="Page3Line12">Instructions!$C$29</definedName>
    <definedName name="Page3Line14">Instructions!$C$30</definedName>
    <definedName name="Page3Line15">Instructions!$C$31</definedName>
    <definedName name="Page3Line16">Instructions!$C$33</definedName>
    <definedName name="Page3Line4">Instructions!$C$26</definedName>
    <definedName name="Page3Line9">Instructions!$C$28</definedName>
    <definedName name="Page4f5">Instructions!$C$36</definedName>
    <definedName name="Page4L11">Instructions!$C$34</definedName>
    <definedName name="Page4L12">Instructions!$C$35</definedName>
    <definedName name="Page5">'Page 6'!$A$1:$U$40</definedName>
    <definedName name="Page5SelectExp">Instructions!$C$37</definedName>
    <definedName name="Page6">'Page 7'!$A$1:$M$68</definedName>
    <definedName name="Page6F456">Instructions!$C$41</definedName>
    <definedName name="Page6l16">Instructions!$C$39</definedName>
    <definedName name="Page6l17">Instructions!$C$40</definedName>
    <definedName name="Page6l2">Instructions!$C$49</definedName>
    <definedName name="Page6l24">Instructions!$C$45</definedName>
    <definedName name="Page6l29">Instructions!$C$46</definedName>
    <definedName name="Page6l2and3">Instructions!$C$43</definedName>
    <definedName name="Page6l30">Instructions!$C$47</definedName>
    <definedName name="Page6l31">Instructions!$C$42</definedName>
    <definedName name="Page6l33">Instructions!#REF!</definedName>
    <definedName name="Page6l34">Instructions!$C$48</definedName>
    <definedName name="Page6l4">Instructions!$C$44</definedName>
    <definedName name="Page7" localSheetId="8">'Page 8'!$A$1:$K$34</definedName>
    <definedName name="Page7Gen">Instructions!$C$50</definedName>
    <definedName name="Page7l1">Instructions!$C$51</definedName>
    <definedName name="Page7l10">#REF!</definedName>
    <definedName name="Page7l10a">Instructions!#REF!</definedName>
    <definedName name="Page7l10b">Instructions!#REF!</definedName>
    <definedName name="Page7l10c">Instructions!#REF!</definedName>
    <definedName name="Page7l11">#REF!</definedName>
    <definedName name="Page7l2athroughb">Instructions!$C$52</definedName>
    <definedName name="Page7l2b">Instructions!$C$53</definedName>
    <definedName name="Page7l3">Instructions!$C$54</definedName>
    <definedName name="Page7l3a">Instructions!$C$56</definedName>
    <definedName name="Page7l3b">Instructions!$C$58</definedName>
    <definedName name="Page7l3c">Instructions!$C$59</definedName>
    <definedName name="Page7l4">Instructions!$C$61</definedName>
    <definedName name="Page7l5">Instructions!$C$63</definedName>
    <definedName name="Page7l5d">Instructions!$C$64</definedName>
    <definedName name="Page7l6">Instructions!$C$66</definedName>
    <definedName name="Page7l7">Instructions!$C$68</definedName>
    <definedName name="Page7l8a">Instructions!$C$69</definedName>
    <definedName name="Page7l8b">Instructions!$C$70</definedName>
    <definedName name="Page7l8c">Instructions!$C$71</definedName>
    <definedName name="Page7l8d">Instructions!$C$72</definedName>
    <definedName name="Page7l8e">Instructions!$C$73</definedName>
    <definedName name="Page7l8f">Instructions!$C$74</definedName>
    <definedName name="Page7l8g">Instructions!$C$75</definedName>
    <definedName name="Page7l8h">Instructions!$C$77</definedName>
    <definedName name="Page7l9">Instructions!$C$78</definedName>
    <definedName name="Page8lA10">Instructions!$C$87</definedName>
    <definedName name="Page8lA2">Instructions!$C$79</definedName>
    <definedName name="Page8lA3">Instructions!$C$81</definedName>
    <definedName name="Page8lA6">Instructions!$C$83</definedName>
    <definedName name="Page8lA8">Instructions!$C$84</definedName>
    <definedName name="Page8lA9">Instructions!$C$85</definedName>
    <definedName name="PAV">'Data Entry'!$L$94</definedName>
    <definedName name="PercentageIncrease">Cover!$S$34</definedName>
    <definedName name="PercentageIncreaseSumm">'Summary Page 1'!$I$13</definedName>
    <definedName name="PerfPay">'Page 2'!$R$13</definedName>
    <definedName name="PerfPayCrryfwd">'Page 7'!$J$41</definedName>
    <definedName name="PlannedCarryforward">Instructions!$C$19</definedName>
    <definedName name="PreAdjDAA">'BSA55'!$M$132</definedName>
    <definedName name="PremFYTRCL">'BSA55'!$E$103</definedName>
    <definedName name="PrimaryTaxRate">#REF!</definedName>
    <definedName name="PrimTaxRateCurrFY">Cover!$N$13</definedName>
    <definedName name="PrimTaxRatePYSumm">'Summary Page 1'!$C$16</definedName>
    <definedName name="_xlnm.Print_Area" localSheetId="16">'BSA55'!$A$1:$M$168</definedName>
    <definedName name="_xlnm.Print_Area" localSheetId="15">Calculations!$A$1:$S$240</definedName>
    <definedName name="_xlnm.Print_Area" localSheetId="14">'Data Entry'!$A$1:$Q$147</definedName>
    <definedName name="_xlnm.Print_Area" localSheetId="13">'Fund balances'!$A$1:$Q$40</definedName>
    <definedName name="_xlnm.Print_Area" localSheetId="17">Instructions!$A$1:$D$178</definedName>
    <definedName name="_xlnm.Print_Area" localSheetId="1">'Page 1'!$A$1:$N$46</definedName>
    <definedName name="_xlnm.Print_Area" localSheetId="2">'Page 2'!$A$1:$U$30</definedName>
    <definedName name="_xlnm.Print_Area" localSheetId="3">'Page 3'!$A$1:$O$45</definedName>
    <definedName name="_xlnm.Print_Area" localSheetId="4">'Page 4'!$A$1:$N$42</definedName>
    <definedName name="_xlnm.Print_Area" localSheetId="5">'Page 5'!$A$1:$N$30</definedName>
    <definedName name="_xlnm.Print_Area" localSheetId="6">'Page 6'!$A$1:$U$47</definedName>
    <definedName name="_xlnm.Print_Area" localSheetId="7">'Page 7'!$A$1:$M$61</definedName>
    <definedName name="_xlnm.Print_Area" localSheetId="8">'Page 8'!$A$1:$K$36</definedName>
    <definedName name="_xlnm.Print_Area" localSheetId="10">'Summary Page 1'!$A$1:$I$63</definedName>
    <definedName name="_xlnm.Print_Area" localSheetId="11">'Summary Page 2'!$A$1:$N$51</definedName>
    <definedName name="_xlnm.Print_Area" localSheetId="9">Supplement!$A$1:$O$31</definedName>
    <definedName name="_xlnm.Print_Area" localSheetId="12">'Truth in Tax'!$A$1:$M$51</definedName>
    <definedName name="_xlnm.Print_Titles" localSheetId="16">'BSA55'!$1:$2</definedName>
    <definedName name="_xlnm.Print_Titles" localSheetId="15">Calculations!$1:$4</definedName>
    <definedName name="_xlnm.Print_Titles" localSheetId="14">'Data Entry'!$1:$3</definedName>
    <definedName name="_xlnm.Print_Titles" localSheetId="17">Instructions!$1:$1</definedName>
    <definedName name="PriorFiscalYear">Cover!$V$39</definedName>
    <definedName name="PriorYearADM">'Summary Page 1'!$C$12</definedName>
    <definedName name="PriorYearSalary">Cover!$S$32</definedName>
    <definedName name="PriorYearSalarySumm">'Summary Page 1'!$I$11</definedName>
    <definedName name="PY100DayADM">'Data Entry'!$J$28</definedName>
    <definedName name="PYActExpend">'Data Entry'!$C$102</definedName>
    <definedName name="PYADM">'Data Entry'!$C$29</definedName>
    <definedName name="PYEndMOCash">'Data Entry'!$L$144</definedName>
    <definedName name="PYIAEndCash">'Data Entry'!$L$115</definedName>
    <definedName name="PYTotMOActExpend">'Data Entry'!$L$101</definedName>
    <definedName name="QLPSD8">'BSA55'!$E$165</definedName>
    <definedName name="QTR">'Data Entry'!$J$10</definedName>
    <definedName name="RatioAdmin">'Summary Page 2'!$H$38</definedName>
    <definedName name="RatioCertOther">'Summary Page 2'!$H$40</definedName>
    <definedName name="RatioCertSubtotal">'Summary Page 2'!$H$41</definedName>
    <definedName name="RatioClassOther">'Summary Page 2'!$H$45</definedName>
    <definedName name="RatioClassSubtotal">'Summary Page 2'!$H$46</definedName>
    <definedName name="RatioManagers">'Summary Page 2'!$H$43</definedName>
    <definedName name="RatioTeachers">'Summary Page 2'!$H$39</definedName>
    <definedName name="RatioTeachersAides">'Summary Page 2'!$H$44</definedName>
    <definedName name="RatioTotal">'Summary Page 2'!$H$47</definedName>
    <definedName name="RCL">'BSA55'!$J$88</definedName>
    <definedName name="RemoteInstructionDecre">'Data Entry'!$L$86</definedName>
    <definedName name="SalaryComments">Cover!$K$35</definedName>
    <definedName name="SalaryCommentsSumm">'Summary Page 1'!$E$15</definedName>
    <definedName name="SalaryIncrease">Cover!$S$33</definedName>
    <definedName name="SalaryIncreaseSumm">'Summary Page 1'!$I$12</definedName>
    <definedName name="SecondaryTaxRate">#REF!</definedName>
    <definedName name="SecTaxRateBudgFYSumm">'Summary Page 1'!$D$19</definedName>
    <definedName name="SecTaxRatePYSumm">'Summary Page 1'!$C$19</definedName>
    <definedName name="SIActExp">#REF!</definedName>
    <definedName name="SIActRev">#REF!</definedName>
    <definedName name="SIBegFunBal">#REF!</definedName>
    <definedName name="SIBudgExp">#REF!</definedName>
    <definedName name="SITransf">#REF!</definedName>
    <definedName name="SmallIsolated912Checkbox">'Data Entry'!$D$59</definedName>
    <definedName name="SmallIsolatedPSD8Checkbox">'Data Entry'!$C$59</definedName>
    <definedName name="SpecProgOverride">'Page 7'!$J$21</definedName>
    <definedName name="SPEDCareerEdBudgFY">'Page 2'!$G$13</definedName>
    <definedName name="SPEDCareerEdCurrFY">'Page 2'!$F$13</definedName>
    <definedName name="SPEDELLCompInstrBudgFY">'Page 2'!$G$11</definedName>
    <definedName name="SPEDELLCompInstrCurrFY">'Page 2'!$F$11</definedName>
    <definedName name="SPEDELLIncCostBudgFY">'Page 2'!$G$10</definedName>
    <definedName name="SPEDELLIncCostCurrFY">'Page 2'!$F$10</definedName>
    <definedName name="SPEDGiftedEdBudgFY">'Page 2'!$G$8</definedName>
    <definedName name="SPEDGiftedEdCurrFY">'Page 2'!$F$8</definedName>
    <definedName name="SPEDRemedialEdBudgFY">'Page 2'!$G$9</definedName>
    <definedName name="SPEDRemedialEdCurrFY">'Page 2'!$F$9</definedName>
    <definedName name="SPEDStaff">'Summary Page 2'!$H$51</definedName>
    <definedName name="SPEDTeacher">'Summary Page 2'!$H$50</definedName>
    <definedName name="SPEDTotBudgFY">'Page 2'!$G$16</definedName>
    <definedName name="SPEDVocTechEdBudgFY">'Page 2'!$G$12</definedName>
    <definedName name="SPEDVocTechEdCurrFY">'Page 2'!$F$12</definedName>
    <definedName name="SRPV">'Data Entry'!$L$96</definedName>
    <definedName name="SSA_MO">'Page 7'!$J$23</definedName>
    <definedName name="SSA_UCO">'Page 7'!$M$23</definedName>
    <definedName name="SSAFYExceeded">'Data Entry'!$L$121</definedName>
    <definedName name="SSAOriginalBudget">'Truth in Tax'!$G$22</definedName>
    <definedName name="SSAPDRCL10">'Data Entry'!$L$122</definedName>
    <definedName name="SSAPhaseDownCheckbox">'Data Entry'!$C$118</definedName>
    <definedName name="StateProjActRev">#REF!</definedName>
    <definedName name="StateProjBegFunBal">#REF!</definedName>
    <definedName name="StateProjOFSOFU">#REF!</definedName>
    <definedName name="StateProjTotActExp">#REF!</definedName>
    <definedName name="StateProjTotBudgExp">#REF!</definedName>
    <definedName name="StateSupportLevelRouteMile1">'Data Entry'!$J$8</definedName>
    <definedName name="StateSupportLevelRouteMile2">'Data Entry'!$J$9</definedName>
    <definedName name="SumDebtServiceBY">'Summary Page 2'!$D$16</definedName>
    <definedName name="Summ_Page1_StudentCount">Instructions!$C$95</definedName>
    <definedName name="SummAdjacentWaysBY">'Summary Page 2'!$D$15</definedName>
    <definedName name="SummAdjacentWaysPY">'Summary Page 2'!$C$15</definedName>
    <definedName name="SummAllDisabilityBY">'Summary Page 2'!$E$25</definedName>
    <definedName name="SummAllDisabilityPY">'Summary Page 2'!$D$25</definedName>
    <definedName name="SUMMARY_Page1">'Summary Page 1'!$A$1:$I$63</definedName>
    <definedName name="SUMMARY_Page2">'Summary Page 2'!$A$1:$J$51</definedName>
    <definedName name="SUMMARY2" localSheetId="11">'Summary Page 2'!$B$1:$K$34</definedName>
    <definedName name="SummAuxOpsBY">'Summary Page 2'!$D$18</definedName>
    <definedName name="SummAuxOpsPY">'Summary Page 2'!$C$18</definedName>
    <definedName name="SummBondBuildingBY">'Summary Page 2'!$D$19</definedName>
    <definedName name="SummBondBuildingPY">'Summary Page 2'!$C$19</definedName>
    <definedName name="SummCareerEdBY">'Summary Page 2'!$E$31</definedName>
    <definedName name="SummCareerEdPY">'Summary Page 2'!$D$31</definedName>
    <definedName name="SummCompInstrBY">'Summary Page 2'!$D$9</definedName>
    <definedName name="SummCompInstrPY">'Summary Page 2'!$C$9</definedName>
    <definedName name="SummCSFBY">'Summary Page 2'!$D$10</definedName>
    <definedName name="SummCSFPY">'Summary Page 2'!$C$10</definedName>
    <definedName name="SummCTEDBY">'Summary Page 2'!$E$32</definedName>
    <definedName name="SummCTEDPY">'Summary Page 2'!$D$32</definedName>
    <definedName name="SummDebtServicePY">'Summary Page 2'!$C$16</definedName>
    <definedName name="SummELLBY">'Summary Page 2'!$D$8</definedName>
    <definedName name="SummELLCompInstBY">'Summary Page 2'!$E$29</definedName>
    <definedName name="SummELLIncrementalBY">'Summary Page 2'!$E$28</definedName>
    <definedName name="SummELLIncrementalPY">'Summary Page 2'!$D$28</definedName>
    <definedName name="SummELLPY">'Summary Page 2'!$C$8</definedName>
    <definedName name="SummFedProjectsBY">'Summary Page 2'!$D$11</definedName>
    <definedName name="SummFedProjectsPY">'Summary Page 2'!$C$11</definedName>
    <definedName name="SummFoodServiceBY">'Summary Page 2'!$D$20</definedName>
    <definedName name="SummFoodServicePY">'Summary Page 2'!$C$20</definedName>
    <definedName name="SummFY2018Salary">'Summary Page 1'!$I$23</definedName>
    <definedName name="SummGiftedBY">'Summary Page 2'!$E$26</definedName>
    <definedName name="SummGiftedPY">'Summary Page 2'!$D$26</definedName>
    <definedName name="SummInstImprovBY">'Summary Page 2'!$D$7</definedName>
    <definedName name="SummInstImprovPY">'Summary Page 2'!$C$7</definedName>
    <definedName name="SummMOBY">'Summary Page 2'!$D$6</definedName>
    <definedName name="SummMOPY">'Summary Page 2'!$C$6</definedName>
    <definedName name="SummNSFBY">'Summary Page 2'!$D$14</definedName>
    <definedName name="SummNSFPY">'Summary Page 2'!$C$14</definedName>
    <definedName name="SummOtherBY">'Summary Page 2'!$D$21</definedName>
    <definedName name="SummOtherPY">'Summary Page 2'!$C$21</definedName>
    <definedName name="SummRemedialBY">'Summary Page 2'!$E$27</definedName>
    <definedName name="SummRemedialPY">'Summary Page 2'!$D$27</definedName>
    <definedName name="SummSchoolPlantBY">'Summary Page 2'!$D$17</definedName>
    <definedName name="SummSchoolPlantPY">'Summary Page 2'!$C$17</definedName>
    <definedName name="SummSpecEdTotalBY">'Summary Page 2'!$E$33</definedName>
    <definedName name="SummSpecEdTotalPY">'Summary Page 2'!$D$33</definedName>
    <definedName name="SummStateProjectsBY">'Summary Page 2'!$D$12</definedName>
    <definedName name="SummStateProjectsPY">'Summary Page 2'!$C$12</definedName>
    <definedName name="SummTotalPercentageIncrease">'Summary Page 1'!$I$24</definedName>
    <definedName name="SummUCOBY">'Summary Page 2'!$D$13</definedName>
    <definedName name="SummUCOPY">'Summary Page 2'!$C$13</definedName>
    <definedName name="SummVocandTechEdBY">'Summary Page 2'!$E$30</definedName>
    <definedName name="SummVocandTechEdPY">'Summary Page 2'!$D$30</definedName>
    <definedName name="Suppl_ELL">Instructions!$C$90</definedName>
    <definedName name="Suppl_P.1_2" localSheetId="9">Supplement!$A$1:$O$18</definedName>
    <definedName name="SuppLvlWgt912NonIsolated">Calculations!$L$33</definedName>
    <definedName name="SupportLevelWeight912">Calculations!$L$33</definedName>
    <definedName name="SupportLevelWeight912NonIsolated">Calculations!$L$33</definedName>
    <definedName name="System" localSheetId="0">Cover!$A$6</definedName>
    <definedName name="TaxRates">Instructions!$C$9</definedName>
    <definedName name="TeacherCompCheckbox">'Data Entry'!$C$61</definedName>
    <definedName name="TeacherSalaryIncrease">'Page 2'!$R$34</definedName>
    <definedName name="TEI">'Data Entry'!$L$66</definedName>
    <definedName name="TNTWSl12">Instructions!$C$102</definedName>
    <definedName name="TotalAOIFTStudCntCY">'Data Entry'!$J$32</definedName>
    <definedName name="TotalAOIPTStudCntCY">'Data Entry'!$J$33</definedName>
    <definedName name="TotalDAAAdj">'BSA55'!$M$135</definedName>
    <definedName name="TotalFTEAdmin">'Summary Page 2'!$F$38</definedName>
    <definedName name="TotalFTECertOther">'Summary Page 2'!$F$40</definedName>
    <definedName name="TotalFTECertSubtotal">'Summary Page 2'!$F$41</definedName>
    <definedName name="TotalFTEClassOther">'Summary Page 2'!$F$45</definedName>
    <definedName name="TotalFTEClassSubtotal">'Summary Page 2'!$F$46</definedName>
    <definedName name="TotalFTEManagers">'Summary Page 2'!$F$43</definedName>
    <definedName name="TotalFTESpecEdStaff">'Summary Page 2'!$F$51</definedName>
    <definedName name="TotalFTESpecEdTeacher">'Summary Page 2'!$F$50</definedName>
    <definedName name="TotalFTETeachers">'Summary Page 2'!$F$39</definedName>
    <definedName name="TotalFTETeachersAides">'Summary Page 2'!$F$44</definedName>
    <definedName name="TotalFTETotal">'Summary Page 2'!$F$47</definedName>
    <definedName name="TotalNonAOIStudCntCY">'Data Entry'!$J$31</definedName>
    <definedName name="TotalPercentageIncrease">Cover!$S$41</definedName>
    <definedName name="TotAmtCapExped">'Page 7'!$M$56</definedName>
    <definedName name="TotCurrExpFed">#REF!</definedName>
    <definedName name="TotExpNPEFS">#REF!</definedName>
    <definedName name="TotFedProjFundBudgFY">'Page 6'!$J$27</definedName>
    <definedName name="TotFedProjFundCurrFY">'Page 6'!$I$27</definedName>
    <definedName name="TotMOSpEdExp">#REF!</definedName>
    <definedName name="TotSecTaxRateBudgFY">Cover!$Q$22</definedName>
    <definedName name="TotSecTaxRateCurrFY">Cover!$N$22</definedName>
    <definedName name="TotStateProjFundBudgFY">'Page 6'!$J$39</definedName>
    <definedName name="TotStateProjFundCurrFY">'Page 6'!$I$39</definedName>
    <definedName name="TRCLBudgPY" localSheetId="16">'BSA55'!$E$97</definedName>
    <definedName name="TruthinTax">Instructions!$C$96</definedName>
    <definedName name="TruthInTaxBaseLmt">'Truth in Tax'!$I$16</definedName>
    <definedName name="TruthinTaxl1">Instructions!$C$99</definedName>
    <definedName name="TruthinTaxl2">Instructions!$C$100</definedName>
    <definedName name="TruthinTaxl8a">Instructions!$C$101</definedName>
    <definedName name="TSL">'BSA55'!$E$93</definedName>
    <definedName name="TSLBudgPY" localSheetId="16">'BSA55'!$C$100</definedName>
    <definedName name="TwoPriorYearADM">'Summary Page 1'!$B$12</definedName>
    <definedName name="TwoYearsPrior">Cover!$V$40</definedName>
    <definedName name="Type01TranspFactor">'BSA55'!$AA$144</definedName>
    <definedName name="Type02TranspFactor">'BSA55'!$AA$141</definedName>
    <definedName name="Type03TranspFactor">'BSA55'!$AA$140</definedName>
    <definedName name="Type04TranspFactor">'BSA55'!$AA$142</definedName>
    <definedName name="Type05TranspFactor">'BSA55'!$AA$143</definedName>
    <definedName name="UCBLBudgFY">'Page 8'!$K$30</definedName>
    <definedName name="UCBLBudgFYSumm">'Summary Page 1'!$D$24</definedName>
    <definedName name="UCOBudgFYSumm">'Summary Page 1'!$B$24</definedName>
    <definedName name="UCOFundK3ReadExp">'Page 4'!$K$32</definedName>
    <definedName name="UCOFundType">Instructions!$C$120</definedName>
    <definedName name="UnweightedStudCnt912CY">'Data Entry'!$I$34</definedName>
    <definedName name="UnweightedStudCnt912PY">'Data Entry'!$I$29</definedName>
    <definedName name="UnweightedStudCntK8CY">'Data Entry'!$H$34</definedName>
    <definedName name="UnweightedStudCntK8PY">'Data Entry'!$H$29</definedName>
    <definedName name="UnweightedStudCntPSDCY">'Data Entry'!$G$34</definedName>
    <definedName name="UnweightedStudCntPSDPY">'Data Entry'!$G$29</definedName>
    <definedName name="Version">Cover!$C$8</definedName>
    <definedName name="WebsiteLink">Instructions!$C$8</definedName>
    <definedName name="Z_0F9ECBDE_145C_4D55_87B4_D9130808EEB8_.wvu.PrintArea" localSheetId="0" hidden="1">Cover!$A$1:$Q$39</definedName>
    <definedName name="Z_0F9ECBDE_145C_4D55_87B4_D9130808EEB8_.wvu.PrintArea" localSheetId="1" hidden="1">'Page 1'!$A$1:$N$45</definedName>
    <definedName name="Z_0F9ECBDE_145C_4D55_87B4_D9130808EEB8_.wvu.PrintArea" localSheetId="2" hidden="1">'Page 2'!$A$1:$T$49</definedName>
    <definedName name="Z_0F9ECBDE_145C_4D55_87B4_D9130808EEB8_.wvu.PrintArea" localSheetId="3" hidden="1">'Page 3'!$A$1:$S$2</definedName>
    <definedName name="Z_0F9ECBDE_145C_4D55_87B4_D9130808EEB8_.wvu.PrintArea" localSheetId="4" hidden="1">'Page 4'!$A$1:$O$40</definedName>
    <definedName name="Z_0F9ECBDE_145C_4D55_87B4_D9130808EEB8_.wvu.PrintArea" localSheetId="6" hidden="1">'Page 6'!$A$1:$U$44</definedName>
    <definedName name="Z_0F9ECBDE_145C_4D55_87B4_D9130808EEB8_.wvu.PrintArea" localSheetId="7" hidden="1">'Page 7'!$A$1:$M$71</definedName>
    <definedName name="Z_0F9ECBDE_145C_4D55_87B4_D9130808EEB8_.wvu.PrintArea" localSheetId="8" hidden="1">'Page 8'!$A$1:$K$34</definedName>
    <definedName name="Z_0F9ECBDE_145C_4D55_87B4_D9130808EEB8_.wvu.PrintArea" localSheetId="10" hidden="1">'Summary Page 1'!$A$1:$I$61</definedName>
    <definedName name="Z_0F9ECBDE_145C_4D55_87B4_D9130808EEB8_.wvu.PrintArea" localSheetId="11" hidden="1">'Summary Page 2'!$A$1:$J$51</definedName>
    <definedName name="Z_0F9ECBDE_145C_4D55_87B4_D9130808EEB8_.wvu.PrintArea" localSheetId="9" hidden="1">Supplement!$A$1:$O$18</definedName>
    <definedName name="Z_0F9ECBDE_145C_4D55_87B4_D9130808EEB8_.wvu.PrintArea" localSheetId="12" hidden="1">'Truth in Tax'!$A$1:$M$49</definedName>
    <definedName name="Z_903F8610_9018_4A51_AB82_3BFF7D9F8301_.wvu.PrintArea" localSheetId="0" hidden="1">Cover!$A$1:$Q$39</definedName>
    <definedName name="Z_903F8610_9018_4A51_AB82_3BFF7D9F8301_.wvu.PrintArea" localSheetId="1" hidden="1">'Page 1'!$A$1:$N$45</definedName>
    <definedName name="Z_903F8610_9018_4A51_AB82_3BFF7D9F8301_.wvu.PrintArea" localSheetId="2" hidden="1">'Page 2'!$A$1:$T$49</definedName>
    <definedName name="Z_903F8610_9018_4A51_AB82_3BFF7D9F8301_.wvu.PrintArea" localSheetId="3" hidden="1">'Page 3'!$A$1:$S$2</definedName>
    <definedName name="Z_903F8610_9018_4A51_AB82_3BFF7D9F8301_.wvu.PrintArea" localSheetId="4" hidden="1">'Page 4'!$A$1:$O$40</definedName>
    <definedName name="Z_903F8610_9018_4A51_AB82_3BFF7D9F8301_.wvu.PrintArea" localSheetId="6" hidden="1">'Page 6'!$A$1:$U$44</definedName>
    <definedName name="Z_903F8610_9018_4A51_AB82_3BFF7D9F8301_.wvu.PrintArea" localSheetId="7" hidden="1">'Page 7'!$A$1:$M$71</definedName>
    <definedName name="Z_903F8610_9018_4A51_AB82_3BFF7D9F8301_.wvu.PrintArea" localSheetId="8" hidden="1">'Page 8'!$A$1:$K$34</definedName>
    <definedName name="Z_903F8610_9018_4A51_AB82_3BFF7D9F8301_.wvu.PrintArea" localSheetId="10" hidden="1">'Summary Page 1'!$A$1:$I$61</definedName>
    <definedName name="Z_903F8610_9018_4A51_AB82_3BFF7D9F8301_.wvu.PrintArea" localSheetId="11" hidden="1">'Summary Page 2'!$A$1:$J$51</definedName>
    <definedName name="Z_903F8610_9018_4A51_AB82_3BFF7D9F8301_.wvu.PrintArea" localSheetId="9" hidden="1">Supplement!$A$1:$O$18</definedName>
    <definedName name="Z_903F8610_9018_4A51_AB82_3BFF7D9F8301_.wvu.PrintArea" localSheetId="12" hidden="1">'Truth in Tax'!$A$1:$M$49</definedName>
  </definedNames>
  <calcPr calcId="191028" fullPrecision="0"/>
  <customWorkbookViews>
    <customWorkbookView name="awinn - Personal View" guid="{903F8610-9018-4A51-AB82-3BFF7D9F8301}" mergeInterval="0" personalView="1" maximized="1" xWindow="240" yWindow="120" windowWidth="1020" windowHeight="596" tabRatio="915" activeSheetId="9"/>
    <customWorkbookView name="ccable - Personal View" guid="{0F9ECBDE-145C-4D55-87B4-D9130808EEB8}" mergeInterval="0" personalView="1" maximized="1" xWindow="240" yWindow="120" windowWidth="1020" windowHeight="591" tabRatio="915"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6" i="29" l="1"/>
  <c r="D15" i="31"/>
  <c r="C15" i="31"/>
  <c r="E7" i="29"/>
  <c r="E6" i="29"/>
  <c r="D6" i="29"/>
  <c r="L43" i="2"/>
  <c r="H15" i="2"/>
  <c r="H14" i="2"/>
  <c r="H12" i="2"/>
  <c r="H10" i="2"/>
  <c r="J27" i="7"/>
  <c r="G27" i="7"/>
  <c r="K40" i="2" l="1"/>
  <c r="K35" i="2"/>
  <c r="K30" i="2" l="1"/>
  <c r="J13" i="23"/>
  <c r="H13" i="23"/>
  <c r="F13" i="23"/>
  <c r="D13" i="23"/>
  <c r="D12" i="23" l="1"/>
  <c r="K20" i="5"/>
  <c r="K15" i="5"/>
  <c r="J15" i="29" a="1"/>
  <c r="J10" i="29" a="1"/>
  <c r="K43" i="2"/>
  <c r="G62" i="13" s="1"/>
  <c r="K33" i="2"/>
  <c r="R86" i="28" l="1"/>
  <c r="K13" i="19"/>
  <c r="D19" i="5"/>
  <c r="I43" i="7" l="1" a="1"/>
  <c r="L100" i="28" l="1" a="1"/>
  <c r="L38" i="2" l="1"/>
  <c r="O9" i="16" l="1"/>
  <c r="I44" i="7" l="1" a="1"/>
  <c r="I46" i="7" a="1"/>
  <c r="I45" i="7" a="1"/>
  <c r="H52" i="30" l="1"/>
  <c r="D32" i="29" l="1" a="1"/>
  <c r="M37" i="2" l="1"/>
  <c r="L37" i="2"/>
  <c r="K37" i="2"/>
  <c r="J37" i="2"/>
  <c r="I37" i="2"/>
  <c r="H37" i="2"/>
  <c r="G37" i="2"/>
  <c r="F37" i="2"/>
  <c r="E37" i="2"/>
  <c r="D37" i="2"/>
  <c r="G22" i="15"/>
  <c r="G18" i="15"/>
  <c r="C100" i="30" a="1"/>
  <c r="C100" i="30" s="1"/>
  <c r="E97" i="30" a="1"/>
  <c r="E97" i="30" s="1"/>
  <c r="L99" i="28"/>
  <c r="L98" i="28"/>
  <c r="L97" i="28"/>
  <c r="L96" i="28"/>
  <c r="R96" i="28" s="1"/>
  <c r="R83" i="28"/>
  <c r="I5" i="15" a="1"/>
  <c r="I5" i="15" s="1"/>
  <c r="I7" i="15" s="1"/>
  <c r="I36" i="15" s="1"/>
  <c r="D32" i="14" a="1"/>
  <c r="D32" i="14" s="1"/>
  <c r="E60" i="13"/>
  <c r="C60" i="13"/>
  <c r="E59" i="13"/>
  <c r="C59" i="13"/>
  <c r="E57" i="13"/>
  <c r="C57" i="13"/>
  <c r="E56" i="13"/>
  <c r="C56" i="13"/>
  <c r="E55" i="13"/>
  <c r="C55" i="13"/>
  <c r="E53" i="13"/>
  <c r="C53" i="13"/>
  <c r="E52" i="13"/>
  <c r="C52" i="13"/>
  <c r="E51" i="13"/>
  <c r="C51" i="13"/>
  <c r="E50" i="13"/>
  <c r="C50" i="13"/>
  <c r="E49" i="13"/>
  <c r="C49" i="13"/>
  <c r="E48" i="13"/>
  <c r="C48" i="13"/>
  <c r="E46" i="13"/>
  <c r="C46" i="13"/>
  <c r="E43" i="13"/>
  <c r="C43" i="13"/>
  <c r="E42" i="13"/>
  <c r="C42" i="13"/>
  <c r="E41" i="13"/>
  <c r="C41" i="13"/>
  <c r="E40" i="13"/>
  <c r="C40" i="13"/>
  <c r="E39" i="13"/>
  <c r="C39" i="13"/>
  <c r="E38" i="13"/>
  <c r="C38" i="13"/>
  <c r="E37" i="13"/>
  <c r="C37" i="13"/>
  <c r="E36" i="13"/>
  <c r="C36" i="13"/>
  <c r="E35" i="13"/>
  <c r="C35" i="13"/>
  <c r="E33" i="13"/>
  <c r="C33" i="13"/>
  <c r="L29" i="17"/>
  <c r="N29" i="17" s="1"/>
  <c r="L28" i="17"/>
  <c r="N28" i="17" s="1"/>
  <c r="L27" i="17"/>
  <c r="N27" i="17" s="1"/>
  <c r="L26" i="17"/>
  <c r="N26" i="17" s="1"/>
  <c r="L25" i="17"/>
  <c r="N25" i="17" s="1"/>
  <c r="L24" i="17"/>
  <c r="N24" i="17" s="1"/>
  <c r="L23" i="17"/>
  <c r="N23" i="17" s="1"/>
  <c r="L22" i="17"/>
  <c r="N22" i="17" s="1"/>
  <c r="L20" i="17"/>
  <c r="N20" i="17" s="1"/>
  <c r="L17" i="17"/>
  <c r="N17" i="17" s="1"/>
  <c r="L16" i="17"/>
  <c r="N16" i="17" s="1"/>
  <c r="L15" i="17"/>
  <c r="N15" i="17" s="1"/>
  <c r="L14" i="17"/>
  <c r="N14" i="17" s="1"/>
  <c r="L13" i="17"/>
  <c r="N13" i="17" s="1"/>
  <c r="L12" i="17"/>
  <c r="N12" i="17" s="1"/>
  <c r="L11" i="17"/>
  <c r="N11" i="17" s="1"/>
  <c r="L10" i="17"/>
  <c r="N10" i="17" s="1"/>
  <c r="L8" i="17"/>
  <c r="D29" i="17"/>
  <c r="D28" i="17"/>
  <c r="D27" i="17"/>
  <c r="D26" i="17"/>
  <c r="D25" i="17"/>
  <c r="D24" i="17"/>
  <c r="D23" i="17"/>
  <c r="D22" i="17"/>
  <c r="D20" i="17"/>
  <c r="D17" i="17"/>
  <c r="D16" i="17"/>
  <c r="D15" i="17"/>
  <c r="D14" i="17"/>
  <c r="D13" i="17"/>
  <c r="D12" i="17"/>
  <c r="D11" i="17"/>
  <c r="D10" i="17"/>
  <c r="D8" i="17"/>
  <c r="K8" i="19"/>
  <c r="K11" i="19" s="1"/>
  <c r="I36" i="7" a="1"/>
  <c r="I36" i="7" s="1"/>
  <c r="F36" i="7" a="1"/>
  <c r="F36" i="7" s="1"/>
  <c r="I38" i="7"/>
  <c r="F38" i="7"/>
  <c r="I37" i="7"/>
  <c r="F37" i="7"/>
  <c r="I35" i="7"/>
  <c r="F35" i="7"/>
  <c r="I34" i="7"/>
  <c r="F34" i="7"/>
  <c r="I33" i="7"/>
  <c r="F33" i="7"/>
  <c r="I32" i="7"/>
  <c r="F32" i="7"/>
  <c r="I31" i="7"/>
  <c r="F31" i="7"/>
  <c r="I30" i="7"/>
  <c r="F30" i="7"/>
  <c r="I29" i="7"/>
  <c r="F29" i="7"/>
  <c r="I26" i="7"/>
  <c r="F26" i="7"/>
  <c r="I25" i="7"/>
  <c r="F25" i="7"/>
  <c r="I24" i="7"/>
  <c r="F24" i="7"/>
  <c r="I23" i="7"/>
  <c r="F23" i="7"/>
  <c r="I22" i="7"/>
  <c r="F22" i="7"/>
  <c r="I21" i="7"/>
  <c r="F21" i="7"/>
  <c r="I20" i="7"/>
  <c r="F20" i="7"/>
  <c r="I19" i="7"/>
  <c r="F19" i="7"/>
  <c r="I18" i="7"/>
  <c r="F18" i="7"/>
  <c r="I17" i="7"/>
  <c r="F17" i="7"/>
  <c r="I16" i="7"/>
  <c r="F16" i="7"/>
  <c r="I15" i="7"/>
  <c r="F15" i="7"/>
  <c r="I14" i="7"/>
  <c r="F14" i="7"/>
  <c r="I13" i="7"/>
  <c r="F13" i="7"/>
  <c r="I12" i="7"/>
  <c r="F12" i="7"/>
  <c r="I11" i="7"/>
  <c r="F11" i="7"/>
  <c r="I10" i="7"/>
  <c r="F10" i="7"/>
  <c r="I9" i="7"/>
  <c r="F9" i="7"/>
  <c r="I8" i="7"/>
  <c r="F8" i="7"/>
  <c r="I7" i="7"/>
  <c r="I27" i="7" s="1"/>
  <c r="F7" i="7"/>
  <c r="F27" i="7" s="1"/>
  <c r="S43" i="7"/>
  <c r="M36" i="14" s="1"/>
  <c r="S42" i="7"/>
  <c r="M35" i="14" s="1"/>
  <c r="S41" i="7"/>
  <c r="M34" i="14" s="1"/>
  <c r="S40" i="7"/>
  <c r="M33" i="14" s="1"/>
  <c r="S38" i="7"/>
  <c r="M32" i="14" s="1"/>
  <c r="S37" i="7"/>
  <c r="M31" i="14" s="1"/>
  <c r="S36" i="7"/>
  <c r="M30" i="14" s="1"/>
  <c r="S35" i="7"/>
  <c r="C16" i="14" s="1"/>
  <c r="F16" i="14" s="1"/>
  <c r="S34" i="7"/>
  <c r="M29" i="14" s="1"/>
  <c r="S33" i="7"/>
  <c r="M28" i="14" s="1"/>
  <c r="S32" i="7"/>
  <c r="M27" i="14" s="1"/>
  <c r="S31" i="7"/>
  <c r="M26" i="14" s="1"/>
  <c r="S30" i="7"/>
  <c r="M25" i="14" s="1"/>
  <c r="S29" i="7"/>
  <c r="M24" i="14" s="1"/>
  <c r="S28" i="7"/>
  <c r="M23" i="14" s="1"/>
  <c r="S27" i="7"/>
  <c r="M22" i="14" s="1"/>
  <c r="S26" i="7"/>
  <c r="M21" i="14" s="1"/>
  <c r="S25" i="7"/>
  <c r="M20" i="14" s="1"/>
  <c r="S24" i="7"/>
  <c r="M19" i="14" s="1"/>
  <c r="S23" i="7"/>
  <c r="M18" i="14" s="1"/>
  <c r="S22" i="7"/>
  <c r="M17" i="14" s="1"/>
  <c r="S21" i="7"/>
  <c r="M16" i="14" s="1"/>
  <c r="S20" i="7"/>
  <c r="M15" i="14" s="1"/>
  <c r="S19" i="7"/>
  <c r="M14" i="14" s="1"/>
  <c r="S18" i="7"/>
  <c r="M13" i="14" s="1"/>
  <c r="S17" i="7"/>
  <c r="M12" i="14" s="1"/>
  <c r="S16" i="7"/>
  <c r="M11" i="14" s="1"/>
  <c r="S15" i="7"/>
  <c r="M10" i="14" s="1"/>
  <c r="S14" i="7"/>
  <c r="M9" i="14" s="1"/>
  <c r="S13" i="7"/>
  <c r="M8" i="14" s="1"/>
  <c r="S12" i="7"/>
  <c r="C18" i="14" s="1"/>
  <c r="S11" i="7"/>
  <c r="M7" i="14" s="1"/>
  <c r="S10" i="7"/>
  <c r="M6" i="14" s="1"/>
  <c r="C20" i="14"/>
  <c r="S8" i="7"/>
  <c r="C17" i="14" s="1"/>
  <c r="S5" i="7"/>
  <c r="M5" i="14" s="1"/>
  <c r="J25" i="23"/>
  <c r="H25" i="23"/>
  <c r="F25" i="23"/>
  <c r="D25" i="23"/>
  <c r="J24" i="23"/>
  <c r="H24" i="23"/>
  <c r="F24" i="23"/>
  <c r="D24" i="23"/>
  <c r="J23" i="23"/>
  <c r="F23" i="23"/>
  <c r="D23" i="23"/>
  <c r="J20" i="23"/>
  <c r="H20" i="23"/>
  <c r="F20" i="23"/>
  <c r="D20" i="23"/>
  <c r="J19" i="23"/>
  <c r="H19" i="23"/>
  <c r="F19" i="23"/>
  <c r="D19" i="23"/>
  <c r="J18" i="23"/>
  <c r="H18" i="23"/>
  <c r="F18" i="23"/>
  <c r="D18" i="23"/>
  <c r="J17" i="23"/>
  <c r="H17" i="23"/>
  <c r="F17" i="23"/>
  <c r="D17" i="23"/>
  <c r="J16" i="23"/>
  <c r="H16" i="23"/>
  <c r="F16" i="23"/>
  <c r="D16" i="23"/>
  <c r="J15" i="23"/>
  <c r="H15" i="23"/>
  <c r="F15" i="23"/>
  <c r="D15" i="23"/>
  <c r="J14" i="23"/>
  <c r="H14" i="23"/>
  <c r="F14" i="23"/>
  <c r="D14" i="23"/>
  <c r="J12" i="23"/>
  <c r="H12" i="23"/>
  <c r="F12" i="23"/>
  <c r="J11" i="23"/>
  <c r="H11" i="23"/>
  <c r="F11" i="23"/>
  <c r="D11" i="23"/>
  <c r="J10" i="23"/>
  <c r="H10" i="23"/>
  <c r="F10" i="23"/>
  <c r="D10" i="23"/>
  <c r="J8" i="23"/>
  <c r="C15" i="14" s="1"/>
  <c r="H8" i="23"/>
  <c r="C14" i="14" s="1"/>
  <c r="E14" i="14" s="1"/>
  <c r="F8" i="23"/>
  <c r="C19" i="14" s="1"/>
  <c r="K18" i="5"/>
  <c r="K17" i="5"/>
  <c r="K16" i="5"/>
  <c r="K14" i="5"/>
  <c r="K13" i="5"/>
  <c r="K12" i="5"/>
  <c r="K10" i="5"/>
  <c r="K8" i="5"/>
  <c r="M8" i="5" s="1"/>
  <c r="L10" i="29"/>
  <c r="J8" i="29" a="1"/>
  <c r="J8" i="29" s="1"/>
  <c r="L8" i="29" s="1"/>
  <c r="J13" i="29" a="1"/>
  <c r="J13" i="29" s="1"/>
  <c r="J9" i="29" a="1"/>
  <c r="J9" i="29" s="1"/>
  <c r="L9" i="29" s="1"/>
  <c r="J7" i="29" a="1"/>
  <c r="J7" i="29" s="1"/>
  <c r="J6" i="29" a="1"/>
  <c r="J6" i="29" s="1"/>
  <c r="J11" i="29" a="1"/>
  <c r="J11" i="29" s="1"/>
  <c r="L11" i="29" s="1"/>
  <c r="J12" i="29" a="1"/>
  <c r="J12" i="29" s="1"/>
  <c r="F19" i="3" a="1"/>
  <c r="F19" i="3" s="1"/>
  <c r="F14" i="3"/>
  <c r="F13" i="3"/>
  <c r="D31" i="14" s="1"/>
  <c r="F12" i="3"/>
  <c r="D30" i="14" s="1"/>
  <c r="F11" i="3"/>
  <c r="D29" i="14" s="1"/>
  <c r="F10" i="3"/>
  <c r="D28" i="14" s="1"/>
  <c r="F9" i="3"/>
  <c r="D27" i="14" s="1"/>
  <c r="F8" i="3"/>
  <c r="D26" i="14" s="1"/>
  <c r="F7" i="3"/>
  <c r="D25" i="14" s="1"/>
  <c r="K41" i="2"/>
  <c r="K38" i="2"/>
  <c r="M38" i="2" s="1"/>
  <c r="M33" i="2"/>
  <c r="K32" i="2"/>
  <c r="M32" i="2" s="1"/>
  <c r="K31" i="2"/>
  <c r="M31" i="2" s="1"/>
  <c r="M30" i="2"/>
  <c r="K29" i="2"/>
  <c r="M29" i="2" s="1"/>
  <c r="K28" i="2"/>
  <c r="M28" i="2" s="1"/>
  <c r="K27" i="2"/>
  <c r="M27" i="2" s="1"/>
  <c r="K26" i="2"/>
  <c r="K24" i="2"/>
  <c r="K21" i="2"/>
  <c r="K20" i="2"/>
  <c r="K19" i="2"/>
  <c r="K18" i="2"/>
  <c r="K17" i="2"/>
  <c r="K16" i="2"/>
  <c r="K15" i="2"/>
  <c r="K14" i="2"/>
  <c r="K13" i="2"/>
  <c r="K12" i="2"/>
  <c r="K11" i="2"/>
  <c r="K10" i="2"/>
  <c r="K8" i="2"/>
  <c r="D41" i="2"/>
  <c r="D40" i="2"/>
  <c r="D38" i="2"/>
  <c r="D35" i="2"/>
  <c r="D33" i="2"/>
  <c r="D32" i="2"/>
  <c r="D31" i="2"/>
  <c r="D30" i="2"/>
  <c r="D29" i="2"/>
  <c r="D28" i="2"/>
  <c r="D27" i="2"/>
  <c r="D26" i="2"/>
  <c r="D24" i="2"/>
  <c r="D21" i="2"/>
  <c r="D20" i="2"/>
  <c r="D19" i="2"/>
  <c r="D18" i="2"/>
  <c r="D17" i="2"/>
  <c r="D16" i="2"/>
  <c r="D15" i="2"/>
  <c r="D14" i="2"/>
  <c r="D13" i="2"/>
  <c r="D12" i="2"/>
  <c r="D11" i="2"/>
  <c r="D10" i="2"/>
  <c r="D8" i="2"/>
  <c r="G152" i="30"/>
  <c r="E152" i="30"/>
  <c r="G151" i="30"/>
  <c r="E151" i="30"/>
  <c r="G150" i="30"/>
  <c r="E150" i="30"/>
  <c r="G149" i="30"/>
  <c r="E149" i="30"/>
  <c r="G141" i="30"/>
  <c r="D139" i="30"/>
  <c r="G134" i="30"/>
  <c r="E134" i="30"/>
  <c r="I127" i="30"/>
  <c r="C119" i="30"/>
  <c r="I113" i="30"/>
  <c r="G113" i="30"/>
  <c r="E113" i="30"/>
  <c r="G110" i="30"/>
  <c r="D108" i="30"/>
  <c r="D92" i="30"/>
  <c r="C92" i="30"/>
  <c r="E88" i="30"/>
  <c r="J86" i="30"/>
  <c r="E84" i="30"/>
  <c r="E82" i="30"/>
  <c r="E81" i="30"/>
  <c r="E80" i="30"/>
  <c r="J79" i="30"/>
  <c r="G75" i="30"/>
  <c r="D73" i="30"/>
  <c r="C67" i="30"/>
  <c r="B67" i="30"/>
  <c r="A67" i="30"/>
  <c r="C66" i="30"/>
  <c r="B66" i="30"/>
  <c r="A66" i="30"/>
  <c r="C65" i="30"/>
  <c r="C64" i="30"/>
  <c r="C63" i="30"/>
  <c r="C60" i="30"/>
  <c r="H55" i="30"/>
  <c r="C54" i="30"/>
  <c r="H45" i="30"/>
  <c r="F45" i="30"/>
  <c r="G41" i="30"/>
  <c r="D39" i="30"/>
  <c r="L38" i="30"/>
  <c r="I35" i="30"/>
  <c r="H35" i="30"/>
  <c r="E33" i="30"/>
  <c r="D33" i="30"/>
  <c r="I32" i="30"/>
  <c r="H32" i="30"/>
  <c r="G32" i="30"/>
  <c r="E32" i="30"/>
  <c r="D32" i="30"/>
  <c r="C32" i="30"/>
  <c r="I31" i="30"/>
  <c r="H31" i="30"/>
  <c r="G31" i="30"/>
  <c r="E31" i="30"/>
  <c r="D31" i="30"/>
  <c r="C31" i="30"/>
  <c r="I30" i="30"/>
  <c r="H30" i="30"/>
  <c r="G30" i="30"/>
  <c r="E30" i="30"/>
  <c r="D30" i="30"/>
  <c r="C30" i="30"/>
  <c r="I29" i="30"/>
  <c r="H29" i="30"/>
  <c r="G29" i="30"/>
  <c r="E29" i="30"/>
  <c r="D29" i="30"/>
  <c r="C29" i="30"/>
  <c r="I28" i="30"/>
  <c r="H28" i="30"/>
  <c r="G28" i="30"/>
  <c r="E28" i="30"/>
  <c r="D28" i="30"/>
  <c r="C28" i="30"/>
  <c r="I27" i="30"/>
  <c r="H27" i="30"/>
  <c r="G27" i="30"/>
  <c r="E27" i="30"/>
  <c r="D27" i="30"/>
  <c r="C27" i="30"/>
  <c r="I26" i="30"/>
  <c r="H26" i="30"/>
  <c r="G26" i="30"/>
  <c r="E26" i="30"/>
  <c r="D26" i="30"/>
  <c r="C26" i="30"/>
  <c r="I25" i="30"/>
  <c r="H25" i="30"/>
  <c r="G25" i="30"/>
  <c r="E25" i="30"/>
  <c r="D25" i="30"/>
  <c r="C25" i="30"/>
  <c r="I24" i="30"/>
  <c r="H24" i="30"/>
  <c r="G24" i="30"/>
  <c r="E24" i="30"/>
  <c r="D24" i="30"/>
  <c r="C24" i="30"/>
  <c r="I23" i="30"/>
  <c r="H23" i="30"/>
  <c r="G23" i="30"/>
  <c r="E23" i="30"/>
  <c r="D23" i="30"/>
  <c r="C23" i="30"/>
  <c r="I22" i="30"/>
  <c r="H22" i="30"/>
  <c r="G22" i="30"/>
  <c r="E22" i="30"/>
  <c r="D22" i="30"/>
  <c r="C22" i="30"/>
  <c r="I21" i="30"/>
  <c r="H21" i="30"/>
  <c r="G21" i="30"/>
  <c r="E21" i="30"/>
  <c r="D21" i="30"/>
  <c r="C21" i="30"/>
  <c r="I20" i="30"/>
  <c r="H20" i="30"/>
  <c r="G20" i="30"/>
  <c r="E20" i="30"/>
  <c r="D20" i="30"/>
  <c r="C20" i="30"/>
  <c r="I19" i="30"/>
  <c r="H19" i="30"/>
  <c r="G19" i="30"/>
  <c r="E19" i="30"/>
  <c r="D19" i="30"/>
  <c r="C19" i="30"/>
  <c r="I18" i="30"/>
  <c r="H18" i="30"/>
  <c r="G18" i="30"/>
  <c r="E18" i="30"/>
  <c r="D18" i="30"/>
  <c r="C18" i="30"/>
  <c r="I17" i="30"/>
  <c r="H17" i="30"/>
  <c r="G17" i="30"/>
  <c r="E17" i="30"/>
  <c r="D17" i="30"/>
  <c r="C17" i="30"/>
  <c r="E9" i="30"/>
  <c r="D9" i="30"/>
  <c r="C9" i="30"/>
  <c r="E8" i="30"/>
  <c r="D8" i="30"/>
  <c r="C8" i="30"/>
  <c r="E7" i="30"/>
  <c r="D7" i="30"/>
  <c r="C7" i="30"/>
  <c r="G5" i="30"/>
  <c r="D3" i="30"/>
  <c r="L2" i="30"/>
  <c r="L1" i="30"/>
  <c r="AA144" i="30" s="1"/>
  <c r="G1" i="30"/>
  <c r="B1" i="30"/>
  <c r="R236" i="28"/>
  <c r="R234" i="28"/>
  <c r="R223" i="28"/>
  <c r="R222" i="28"/>
  <c r="R221" i="28"/>
  <c r="R220" i="28"/>
  <c r="R219" i="28"/>
  <c r="R213" i="28"/>
  <c r="R212" i="28"/>
  <c r="R211" i="28"/>
  <c r="R209" i="28"/>
  <c r="R208" i="28"/>
  <c r="R210" i="28" s="1"/>
  <c r="R204" i="28"/>
  <c r="R203" i="28"/>
  <c r="R201" i="28"/>
  <c r="Y191" i="28"/>
  <c r="Y190" i="28"/>
  <c r="Y189" i="28"/>
  <c r="R189" i="28"/>
  <c r="O180" i="28"/>
  <c r="O186" i="28" s="1"/>
  <c r="O170" i="28"/>
  <c r="R157" i="28"/>
  <c r="Z149" i="28"/>
  <c r="Z154" i="28" s="1"/>
  <c r="Y149" i="28"/>
  <c r="Y150" i="28" s="1"/>
  <c r="Y152" i="28" s="1"/>
  <c r="O148" i="28"/>
  <c r="R155" i="28" s="1"/>
  <c r="Z138" i="28"/>
  <c r="Z143" i="28" s="1"/>
  <c r="Y138" i="28"/>
  <c r="Y143" i="28" s="1"/>
  <c r="O137" i="28"/>
  <c r="R144" i="28" s="1"/>
  <c r="R125" i="28"/>
  <c r="R124" i="28"/>
  <c r="R123" i="28"/>
  <c r="R122" i="28"/>
  <c r="O121" i="28"/>
  <c r="Q113" i="27" s="1"/>
  <c r="R120" i="28"/>
  <c r="R118" i="28"/>
  <c r="O113" i="28"/>
  <c r="O112" i="28"/>
  <c r="O114" i="28" s="1"/>
  <c r="R103" i="28"/>
  <c r="O100" i="28"/>
  <c r="R100" i="28" s="1"/>
  <c r="J41" i="8" s="1"/>
  <c r="O99" i="28"/>
  <c r="O98" i="28"/>
  <c r="O97" i="28"/>
  <c r="O96" i="28"/>
  <c r="R90" i="28"/>
  <c r="R84" i="28"/>
  <c r="R87" i="28" s="1"/>
  <c r="L67" i="28"/>
  <c r="L74" i="28" s="1"/>
  <c r="L56" i="28"/>
  <c r="V37" i="28"/>
  <c r="U37" i="28"/>
  <c r="V36" i="28"/>
  <c r="U36" i="28"/>
  <c r="V35" i="28"/>
  <c r="V38" i="28" s="1"/>
  <c r="U35" i="28"/>
  <c r="U38" i="28" s="1"/>
  <c r="O2" i="28"/>
  <c r="O1" i="28"/>
  <c r="R229" i="28" s="1"/>
  <c r="I1" i="28"/>
  <c r="E1" i="28"/>
  <c r="K118" i="27"/>
  <c r="M95" i="27"/>
  <c r="AA91" i="27"/>
  <c r="AA90" i="27"/>
  <c r="L69" i="27"/>
  <c r="L65" i="27"/>
  <c r="I56" i="27"/>
  <c r="H56" i="27"/>
  <c r="G56" i="27"/>
  <c r="I34" i="27"/>
  <c r="H34" i="27"/>
  <c r="G34" i="27"/>
  <c r="J33" i="27"/>
  <c r="J32" i="27"/>
  <c r="J31" i="27"/>
  <c r="Z29" i="27"/>
  <c r="Y29" i="27"/>
  <c r="J29" i="27"/>
  <c r="L2" i="27"/>
  <c r="L1" i="27"/>
  <c r="I1" i="27"/>
  <c r="E1" i="27"/>
  <c r="P30" i="31"/>
  <c r="O30" i="31"/>
  <c r="N30" i="31"/>
  <c r="M30" i="31"/>
  <c r="L30" i="31"/>
  <c r="K30" i="31"/>
  <c r="J30" i="31"/>
  <c r="I30" i="31"/>
  <c r="H30" i="31"/>
  <c r="G30" i="31"/>
  <c r="F30" i="31"/>
  <c r="E30" i="31"/>
  <c r="D30" i="31"/>
  <c r="C30" i="31"/>
  <c r="Q29" i="31"/>
  <c r="Q28" i="31"/>
  <c r="Q27" i="31"/>
  <c r="Q26" i="31"/>
  <c r="P23" i="31"/>
  <c r="O23" i="31"/>
  <c r="N23" i="31"/>
  <c r="M23" i="31"/>
  <c r="L23" i="31"/>
  <c r="K23" i="31"/>
  <c r="J23" i="31"/>
  <c r="I23" i="31"/>
  <c r="H23" i="31"/>
  <c r="G23" i="31"/>
  <c r="F23" i="31"/>
  <c r="E23" i="31"/>
  <c r="D23" i="31"/>
  <c r="C23" i="31"/>
  <c r="Q22" i="31"/>
  <c r="Q21" i="31"/>
  <c r="Q20" i="31"/>
  <c r="Q19" i="31"/>
  <c r="Q18" i="31"/>
  <c r="P17" i="31"/>
  <c r="O17" i="31"/>
  <c r="N17" i="31"/>
  <c r="M17" i="31"/>
  <c r="L17" i="31"/>
  <c r="K17" i="31"/>
  <c r="J17" i="31"/>
  <c r="I17" i="31"/>
  <c r="H17" i="31"/>
  <c r="G17" i="31"/>
  <c r="F17" i="31"/>
  <c r="E17" i="31"/>
  <c r="D17" i="31"/>
  <c r="C17" i="31"/>
  <c r="Q15" i="31"/>
  <c r="Q14" i="31"/>
  <c r="Q10" i="31"/>
  <c r="F1" i="31"/>
  <c r="C1" i="31"/>
  <c r="L31" i="15"/>
  <c r="I29" i="15"/>
  <c r="I23" i="15"/>
  <c r="I19" i="15"/>
  <c r="I14" i="15"/>
  <c r="L13" i="15"/>
  <c r="I12" i="15"/>
  <c r="L12" i="15" s="1"/>
  <c r="L11" i="15"/>
  <c r="L2" i="15"/>
  <c r="L1" i="15"/>
  <c r="E1" i="15"/>
  <c r="F51" i="14"/>
  <c r="F50" i="14"/>
  <c r="E46" i="14"/>
  <c r="D46" i="14"/>
  <c r="F45" i="14"/>
  <c r="F44" i="14"/>
  <c r="F43" i="14"/>
  <c r="E41" i="14"/>
  <c r="D41" i="14"/>
  <c r="F40" i="14"/>
  <c r="F39" i="14"/>
  <c r="F38" i="14"/>
  <c r="N36" i="14"/>
  <c r="L36" i="14"/>
  <c r="N35" i="14"/>
  <c r="L35" i="14"/>
  <c r="N34" i="14"/>
  <c r="N33" i="14"/>
  <c r="L33" i="14"/>
  <c r="N32" i="14"/>
  <c r="L32" i="14"/>
  <c r="E32" i="14"/>
  <c r="N31" i="14"/>
  <c r="E31" i="14"/>
  <c r="N30" i="14"/>
  <c r="E30" i="14"/>
  <c r="N29" i="14"/>
  <c r="E29" i="14"/>
  <c r="N28" i="14"/>
  <c r="E28" i="14"/>
  <c r="N27" i="14"/>
  <c r="E27" i="14"/>
  <c r="N26" i="14"/>
  <c r="E26" i="14"/>
  <c r="N25" i="14"/>
  <c r="E25" i="14"/>
  <c r="N24" i="14"/>
  <c r="N23" i="14"/>
  <c r="N22" i="14"/>
  <c r="N21" i="14"/>
  <c r="N20" i="14"/>
  <c r="D20" i="14"/>
  <c r="N19" i="14"/>
  <c r="D19" i="14"/>
  <c r="N18" i="14"/>
  <c r="D18" i="14"/>
  <c r="N17" i="14"/>
  <c r="D17" i="14"/>
  <c r="N16" i="14"/>
  <c r="D16" i="14"/>
  <c r="N15" i="14"/>
  <c r="D15" i="14"/>
  <c r="N14" i="14"/>
  <c r="D14" i="14"/>
  <c r="N13" i="14"/>
  <c r="N12" i="14"/>
  <c r="D12" i="14"/>
  <c r="N11" i="14"/>
  <c r="D11" i="14"/>
  <c r="N10" i="14"/>
  <c r="N9" i="14"/>
  <c r="D9" i="14"/>
  <c r="N8" i="14"/>
  <c r="D8" i="14"/>
  <c r="N7" i="14"/>
  <c r="N6" i="14"/>
  <c r="N5" i="14"/>
  <c r="I2" i="14"/>
  <c r="I1" i="14"/>
  <c r="A1" i="14"/>
  <c r="H62" i="13"/>
  <c r="F60" i="13"/>
  <c r="D60" i="13"/>
  <c r="F59" i="13"/>
  <c r="D59" i="13"/>
  <c r="H59" i="13" s="1"/>
  <c r="F57" i="13"/>
  <c r="D57" i="13"/>
  <c r="H57" i="13" s="1"/>
  <c r="F55" i="13"/>
  <c r="D55" i="13"/>
  <c r="F53" i="13"/>
  <c r="D53" i="13"/>
  <c r="H53" i="13" s="1"/>
  <c r="F52" i="13"/>
  <c r="D52" i="13"/>
  <c r="H52" i="13" s="1"/>
  <c r="F51" i="13"/>
  <c r="D51" i="13"/>
  <c r="H51" i="13" s="1"/>
  <c r="F50" i="13"/>
  <c r="D50" i="13"/>
  <c r="H50" i="13" s="1"/>
  <c r="F49" i="13"/>
  <c r="D49" i="13"/>
  <c r="H49" i="13" s="1"/>
  <c r="F48" i="13"/>
  <c r="D48" i="13"/>
  <c r="F46" i="13"/>
  <c r="D46" i="13"/>
  <c r="F43" i="13"/>
  <c r="D43" i="13"/>
  <c r="F42" i="13"/>
  <c r="D42" i="13"/>
  <c r="F41" i="13"/>
  <c r="D41" i="13"/>
  <c r="F40" i="13"/>
  <c r="D40" i="13"/>
  <c r="F39" i="13"/>
  <c r="D39" i="13"/>
  <c r="H39" i="13" s="1"/>
  <c r="F38" i="13"/>
  <c r="D38" i="13"/>
  <c r="F37" i="13"/>
  <c r="D37" i="13"/>
  <c r="F36" i="13"/>
  <c r="D36" i="13"/>
  <c r="F35" i="13"/>
  <c r="D35" i="13"/>
  <c r="F33" i="13"/>
  <c r="D33" i="13"/>
  <c r="C24" i="13"/>
  <c r="C23" i="13"/>
  <c r="C22" i="13"/>
  <c r="D19" i="13"/>
  <c r="C19" i="13"/>
  <c r="D16" i="13"/>
  <c r="C16" i="13"/>
  <c r="E15" i="13"/>
  <c r="I11" i="13"/>
  <c r="I10" i="13"/>
  <c r="I4" i="13"/>
  <c r="H4" i="13"/>
  <c r="G4" i="13"/>
  <c r="F4" i="13"/>
  <c r="E4" i="13"/>
  <c r="I2" i="13"/>
  <c r="K5" i="13" s="1"/>
  <c r="I1" i="13"/>
  <c r="A1" i="13"/>
  <c r="M30" i="17"/>
  <c r="K30" i="17"/>
  <c r="I30" i="17"/>
  <c r="H30" i="17"/>
  <c r="G30" i="17"/>
  <c r="F30" i="17"/>
  <c r="E30" i="17"/>
  <c r="M29" i="17"/>
  <c r="M28" i="17"/>
  <c r="M27" i="17"/>
  <c r="M26" i="17"/>
  <c r="M25" i="17"/>
  <c r="M24" i="17"/>
  <c r="M23" i="17"/>
  <c r="M22" i="17"/>
  <c r="M20" i="17"/>
  <c r="M18" i="17"/>
  <c r="K18" i="17"/>
  <c r="I18" i="17"/>
  <c r="H18" i="17"/>
  <c r="G18" i="17"/>
  <c r="F18" i="17"/>
  <c r="E18" i="17"/>
  <c r="M17" i="17"/>
  <c r="M16" i="17"/>
  <c r="M15" i="17"/>
  <c r="M14" i="17"/>
  <c r="M13" i="17"/>
  <c r="M12" i="17"/>
  <c r="M11" i="17"/>
  <c r="M10" i="17"/>
  <c r="M8" i="17"/>
  <c r="M6" i="17"/>
  <c r="L6" i="17"/>
  <c r="N1" i="17"/>
  <c r="K1" i="17"/>
  <c r="G1" i="17"/>
  <c r="B1" i="17"/>
  <c r="K2" i="19"/>
  <c r="K1" i="19"/>
  <c r="G1" i="19"/>
  <c r="E1" i="19"/>
  <c r="N37" i="8"/>
  <c r="M2" i="8"/>
  <c r="M1" i="8"/>
  <c r="G1" i="8"/>
  <c r="D1" i="8"/>
  <c r="J47" i="7"/>
  <c r="J40" i="7"/>
  <c r="J39" i="7"/>
  <c r="G39" i="7"/>
  <c r="G40" i="7"/>
  <c r="T7" i="7"/>
  <c r="T6" i="7"/>
  <c r="T1" i="7"/>
  <c r="P1" i="7"/>
  <c r="J1" i="7"/>
  <c r="D1" i="7"/>
  <c r="A30" i="23"/>
  <c r="I27" i="23"/>
  <c r="G27" i="23"/>
  <c r="K26" i="23"/>
  <c r="I26" i="23"/>
  <c r="G26" i="23"/>
  <c r="E26" i="23"/>
  <c r="K21" i="23"/>
  <c r="I21" i="23"/>
  <c r="G21" i="23"/>
  <c r="E18" i="23"/>
  <c r="E17" i="23"/>
  <c r="E16" i="23"/>
  <c r="N1" i="23"/>
  <c r="K1" i="23"/>
  <c r="H1" i="23"/>
  <c r="B1" i="23"/>
  <c r="D21" i="5"/>
  <c r="J19" i="5"/>
  <c r="I19" i="5"/>
  <c r="H19" i="5"/>
  <c r="G19" i="5"/>
  <c r="F19" i="5"/>
  <c r="E19" i="5"/>
  <c r="L18" i="5"/>
  <c r="L17" i="5"/>
  <c r="L16" i="5"/>
  <c r="L15" i="5"/>
  <c r="L14" i="5"/>
  <c r="L13" i="5"/>
  <c r="L12" i="5"/>
  <c r="L10" i="5"/>
  <c r="L8" i="5"/>
  <c r="L7" i="5"/>
  <c r="K7" i="5"/>
  <c r="N1" i="5"/>
  <c r="L1" i="5"/>
  <c r="H1" i="5"/>
  <c r="B1" i="5"/>
  <c r="B36" i="29"/>
  <c r="I16" i="29"/>
  <c r="H16" i="29"/>
  <c r="G16" i="29"/>
  <c r="F16" i="29"/>
  <c r="I14" i="29"/>
  <c r="H14" i="29"/>
  <c r="G14" i="29"/>
  <c r="F14" i="29"/>
  <c r="E14" i="29"/>
  <c r="D14" i="29"/>
  <c r="K13" i="29"/>
  <c r="K12" i="29"/>
  <c r="K11" i="29"/>
  <c r="K10" i="29"/>
  <c r="K9" i="29"/>
  <c r="K8" i="29"/>
  <c r="K7" i="29"/>
  <c r="K6" i="29"/>
  <c r="K5" i="29"/>
  <c r="N1" i="29"/>
  <c r="K1" i="29"/>
  <c r="G1" i="29"/>
  <c r="B1" i="29"/>
  <c r="G24" i="3"/>
  <c r="G23" i="3"/>
  <c r="G16" i="3"/>
  <c r="R1" i="3"/>
  <c r="O1" i="3"/>
  <c r="I1" i="3"/>
  <c r="C1" i="3"/>
  <c r="L41" i="2"/>
  <c r="L40" i="2"/>
  <c r="R237" i="28" s="1"/>
  <c r="L35" i="2"/>
  <c r="M35" i="2" s="1"/>
  <c r="J34" i="2"/>
  <c r="I34" i="2"/>
  <c r="H34" i="2"/>
  <c r="G34" i="2"/>
  <c r="F34" i="2"/>
  <c r="E34" i="2"/>
  <c r="L33" i="2"/>
  <c r="L32" i="2"/>
  <c r="L31" i="2"/>
  <c r="L30" i="2"/>
  <c r="L29" i="2"/>
  <c r="L28" i="2"/>
  <c r="L27" i="2"/>
  <c r="L26" i="2"/>
  <c r="L24" i="2"/>
  <c r="J22" i="2"/>
  <c r="I22" i="2"/>
  <c r="H22" i="2"/>
  <c r="G22" i="2"/>
  <c r="F22" i="2"/>
  <c r="E22" i="2"/>
  <c r="L21" i="2"/>
  <c r="L20" i="2"/>
  <c r="L19" i="2"/>
  <c r="L18" i="2"/>
  <c r="L17" i="2"/>
  <c r="L16" i="2"/>
  <c r="L15" i="2"/>
  <c r="L14" i="2"/>
  <c r="L13" i="2"/>
  <c r="L12" i="2"/>
  <c r="L11" i="2"/>
  <c r="L10" i="2"/>
  <c r="L8" i="2"/>
  <c r="L6" i="2"/>
  <c r="K6" i="2"/>
  <c r="M1" i="2"/>
  <c r="J1" i="2"/>
  <c r="G1" i="2"/>
  <c r="B1" i="2"/>
  <c r="V40" i="16"/>
  <c r="V39" i="16"/>
  <c r="J5" i="29" s="1"/>
  <c r="S33" i="16"/>
  <c r="I12" i="13" s="1"/>
  <c r="T31" i="16"/>
  <c r="P31" i="16"/>
  <c r="F31" i="16"/>
  <c r="U27" i="16"/>
  <c r="S26" i="16"/>
  <c r="S25" i="16"/>
  <c r="Q22" i="16"/>
  <c r="N22" i="16"/>
  <c r="G15" i="16"/>
  <c r="G14" i="16"/>
  <c r="G13" i="16"/>
  <c r="N10" i="16"/>
  <c r="Q17" i="31" l="1"/>
  <c r="H45" i="14"/>
  <c r="H43" i="14"/>
  <c r="G16" i="14"/>
  <c r="H44" i="14"/>
  <c r="F46" i="14"/>
  <c r="H46" i="14" s="1"/>
  <c r="H40" i="14"/>
  <c r="H39" i="14"/>
  <c r="E47" i="14"/>
  <c r="H38" i="14"/>
  <c r="F41" i="14"/>
  <c r="H41" i="14" s="1"/>
  <c r="D47" i="14"/>
  <c r="N37" i="14"/>
  <c r="D21" i="14" s="1"/>
  <c r="D7" i="14"/>
  <c r="K27" i="23"/>
  <c r="R238" i="28"/>
  <c r="L29" i="15"/>
  <c r="M18" i="5"/>
  <c r="M17" i="5"/>
  <c r="M13" i="5"/>
  <c r="J21" i="5"/>
  <c r="I21" i="5"/>
  <c r="H21" i="5"/>
  <c r="G21" i="5"/>
  <c r="M16" i="5"/>
  <c r="M15" i="5"/>
  <c r="M14" i="5"/>
  <c r="F21" i="5"/>
  <c r="M12" i="5"/>
  <c r="M10" i="5"/>
  <c r="L19" i="5"/>
  <c r="E21" i="5"/>
  <c r="L7" i="29"/>
  <c r="E16" i="29"/>
  <c r="K14" i="29"/>
  <c r="D16" i="29"/>
  <c r="E33" i="14"/>
  <c r="H60" i="13"/>
  <c r="H55" i="13"/>
  <c r="H48" i="13"/>
  <c r="L34" i="2"/>
  <c r="H46" i="13"/>
  <c r="F54" i="13"/>
  <c r="H43" i="13"/>
  <c r="H42" i="13"/>
  <c r="H41" i="13"/>
  <c r="H40" i="13"/>
  <c r="H38" i="13"/>
  <c r="H37" i="13"/>
  <c r="M12" i="2"/>
  <c r="I42" i="2"/>
  <c r="I44" i="2" s="1"/>
  <c r="H36" i="13"/>
  <c r="M11" i="2"/>
  <c r="E42" i="2"/>
  <c r="E44" i="2" s="1"/>
  <c r="J42" i="2"/>
  <c r="J44" i="2" s="1"/>
  <c r="H35" i="13"/>
  <c r="M10" i="2"/>
  <c r="L22" i="2"/>
  <c r="H42" i="2"/>
  <c r="H44" i="2" s="1"/>
  <c r="H33" i="13"/>
  <c r="F44" i="13"/>
  <c r="F42" i="2"/>
  <c r="M8" i="2"/>
  <c r="I5" i="13"/>
  <c r="S34" i="16"/>
  <c r="I13" i="13" s="1"/>
  <c r="L14" i="15"/>
  <c r="G153" i="30"/>
  <c r="G155" i="30" s="1"/>
  <c r="E153" i="30"/>
  <c r="E155" i="30" s="1"/>
  <c r="G135" i="30"/>
  <c r="M134" i="30"/>
  <c r="E135" i="30"/>
  <c r="E92" i="30"/>
  <c r="E83" i="30"/>
  <c r="O39" i="28"/>
  <c r="O38" i="28"/>
  <c r="G35" i="30"/>
  <c r="D45" i="30" s="1"/>
  <c r="C33" i="30"/>
  <c r="E34" i="30" s="1"/>
  <c r="I36" i="30"/>
  <c r="E10" i="30"/>
  <c r="D10" i="30"/>
  <c r="L16" i="28"/>
  <c r="L21" i="28" s="1"/>
  <c r="L24" i="28"/>
  <c r="L29" i="28" s="1"/>
  <c r="I16" i="28"/>
  <c r="I17" i="28" s="1"/>
  <c r="I19" i="28" s="1"/>
  <c r="AA15" i="30"/>
  <c r="I24" i="28"/>
  <c r="I29" i="28" s="1"/>
  <c r="H24" i="28"/>
  <c r="H16" i="28"/>
  <c r="J24" i="28"/>
  <c r="J29" i="28" s="1"/>
  <c r="J16" i="28"/>
  <c r="F7" i="30"/>
  <c r="C10" i="30"/>
  <c r="E11" i="30" s="1"/>
  <c r="J34" i="27"/>
  <c r="I115" i="30"/>
  <c r="O151" i="28"/>
  <c r="M129" i="30"/>
  <c r="O153" i="28"/>
  <c r="I114" i="30"/>
  <c r="O150" i="28"/>
  <c r="R239" i="28"/>
  <c r="O176" i="28"/>
  <c r="O175" i="28"/>
  <c r="O172" i="28"/>
  <c r="O174" i="28" s="1"/>
  <c r="E114" i="30"/>
  <c r="L5" i="27"/>
  <c r="AA140" i="30"/>
  <c r="E156" i="30"/>
  <c r="E157" i="30" s="1"/>
  <c r="K31" i="27"/>
  <c r="M21" i="2"/>
  <c r="M24" i="2"/>
  <c r="M13" i="2"/>
  <c r="M14" i="2"/>
  <c r="M15" i="2"/>
  <c r="M16" i="2"/>
  <c r="M40" i="2"/>
  <c r="M17" i="2"/>
  <c r="M41" i="2"/>
  <c r="M18" i="2"/>
  <c r="M19" i="2"/>
  <c r="M20" i="2"/>
  <c r="M26" i="2"/>
  <c r="Q23" i="31"/>
  <c r="Q30" i="31"/>
  <c r="E89" i="30"/>
  <c r="E90" i="30" s="1"/>
  <c r="E85" i="30"/>
  <c r="A4" i="13"/>
  <c r="AA142" i="30"/>
  <c r="AA143" i="30"/>
  <c r="C4" i="13"/>
  <c r="D4" i="13"/>
  <c r="AA141" i="30"/>
  <c r="G156" i="30"/>
  <c r="G157" i="30" s="1"/>
  <c r="L157" i="30" s="1"/>
  <c r="K113" i="30"/>
  <c r="K115" i="30" s="1"/>
  <c r="E86" i="30"/>
  <c r="E87" i="30" s="1"/>
  <c r="O67" i="28"/>
  <c r="O74" i="28" s="1"/>
  <c r="C118" i="30"/>
  <c r="F9" i="30"/>
  <c r="H9" i="30" s="1"/>
  <c r="O139" i="28"/>
  <c r="Y139" i="28"/>
  <c r="Y141" i="28" s="1"/>
  <c r="R99" i="28"/>
  <c r="L68" i="28"/>
  <c r="O182" i="28"/>
  <c r="O184" i="28" s="1"/>
  <c r="L17" i="28"/>
  <c r="L19" i="28" s="1"/>
  <c r="L25" i="28"/>
  <c r="L27" i="28" s="1"/>
  <c r="R107" i="28"/>
  <c r="Z139" i="28"/>
  <c r="Z141" i="28" s="1"/>
  <c r="O140" i="28"/>
  <c r="O185" i="28"/>
  <c r="R187" i="28" s="1"/>
  <c r="Z150" i="28"/>
  <c r="Z152" i="28" s="1"/>
  <c r="L70" i="28"/>
  <c r="L72" i="28"/>
  <c r="O56" i="28"/>
  <c r="R225" i="28"/>
  <c r="Y154" i="28"/>
  <c r="R226" i="28"/>
  <c r="O142" i="28"/>
  <c r="R88" i="28"/>
  <c r="R227" i="28"/>
  <c r="L57" i="28"/>
  <c r="R228" i="28"/>
  <c r="R214" i="28"/>
  <c r="C61" i="30" s="1"/>
  <c r="R97" i="28"/>
  <c r="R98" i="28"/>
  <c r="Y192" i="28"/>
  <c r="Y193" i="28" s="1"/>
  <c r="Y194" i="28" s="1"/>
  <c r="R158" i="28"/>
  <c r="R159" i="28" s="1"/>
  <c r="R160" i="28" s="1"/>
  <c r="G36" i="13"/>
  <c r="G42" i="13"/>
  <c r="G53" i="13"/>
  <c r="I53" i="13" s="1"/>
  <c r="G33" i="13"/>
  <c r="G35" i="13"/>
  <c r="G43" i="13"/>
  <c r="G39" i="13"/>
  <c r="I39" i="13" s="1"/>
  <c r="G55" i="13"/>
  <c r="G57" i="13"/>
  <c r="I57" i="13" s="1"/>
  <c r="G37" i="13"/>
  <c r="G48" i="13"/>
  <c r="G38" i="13"/>
  <c r="G49" i="13"/>
  <c r="I49" i="13" s="1"/>
  <c r="G59" i="13"/>
  <c r="I59" i="13" s="1"/>
  <c r="G50" i="13"/>
  <c r="I50" i="13" s="1"/>
  <c r="G41" i="13"/>
  <c r="E18" i="14"/>
  <c r="F18" i="14" s="1"/>
  <c r="I47" i="7"/>
  <c r="C7" i="14" s="1"/>
  <c r="G60" i="13"/>
  <c r="D30" i="17"/>
  <c r="K14" i="19"/>
  <c r="F16" i="3"/>
  <c r="J26" i="23"/>
  <c r="D26" i="23"/>
  <c r="G46" i="13"/>
  <c r="F21" i="23"/>
  <c r="H26" i="23"/>
  <c r="I39" i="7"/>
  <c r="C12" i="14" s="1"/>
  <c r="E12" i="14" s="1"/>
  <c r="E44" i="13"/>
  <c r="E21" i="23"/>
  <c r="E27" i="23" s="1"/>
  <c r="D21" i="23"/>
  <c r="F26" i="23"/>
  <c r="G56" i="13"/>
  <c r="F56" i="13"/>
  <c r="E20" i="14"/>
  <c r="F20" i="14"/>
  <c r="D54" i="13"/>
  <c r="D44" i="13"/>
  <c r="I24" i="15"/>
  <c r="I26" i="15" s="1"/>
  <c r="F39" i="7"/>
  <c r="L18" i="17"/>
  <c r="C8" i="14" s="1"/>
  <c r="F8" i="14" s="1"/>
  <c r="C54" i="13"/>
  <c r="R85" i="28"/>
  <c r="G51" i="13"/>
  <c r="I51" i="13" s="1"/>
  <c r="J21" i="23"/>
  <c r="H21" i="23"/>
  <c r="D34" i="2"/>
  <c r="K22" i="2"/>
  <c r="D18" i="17"/>
  <c r="D22" i="2"/>
  <c r="D56" i="13"/>
  <c r="G42" i="2"/>
  <c r="G44" i="2" s="1"/>
  <c r="J14" i="29"/>
  <c r="J16" i="29" s="1"/>
  <c r="L6" i="29"/>
  <c r="F19" i="14"/>
  <c r="E19" i="14"/>
  <c r="E33" i="29"/>
  <c r="D34" i="29"/>
  <c r="D39" i="29" s="1"/>
  <c r="G40" i="13"/>
  <c r="E15" i="14"/>
  <c r="F15" i="14" s="1"/>
  <c r="M37" i="14"/>
  <c r="C21" i="14" s="1"/>
  <c r="N8" i="17"/>
  <c r="C44" i="13"/>
  <c r="G52" i="13"/>
  <c r="I52" i="13" s="1"/>
  <c r="L30" i="17"/>
  <c r="D33" i="14"/>
  <c r="K34" i="2"/>
  <c r="E54" i="13"/>
  <c r="K19" i="5"/>
  <c r="K21" i="5" s="1"/>
  <c r="F14" i="14"/>
  <c r="F6" i="15"/>
  <c r="E16" i="14"/>
  <c r="E17" i="14"/>
  <c r="F17" i="14" s="1"/>
  <c r="F47" i="14" l="1"/>
  <c r="H47" i="14" s="1"/>
  <c r="E21" i="14"/>
  <c r="L21" i="5"/>
  <c r="M21" i="5" s="1"/>
  <c r="Q26" i="16"/>
  <c r="B24" i="13"/>
  <c r="E8" i="23"/>
  <c r="D13" i="14"/>
  <c r="B23" i="13"/>
  <c r="D10" i="14"/>
  <c r="K16" i="29"/>
  <c r="L16" i="29" s="1"/>
  <c r="I60" i="13"/>
  <c r="I55" i="13"/>
  <c r="I48" i="13"/>
  <c r="H54" i="13"/>
  <c r="I14" i="3"/>
  <c r="F33" i="14"/>
  <c r="M34" i="2"/>
  <c r="I46" i="13"/>
  <c r="I43" i="13"/>
  <c r="I42" i="13"/>
  <c r="I41" i="13"/>
  <c r="I40" i="13"/>
  <c r="I38" i="13"/>
  <c r="I37" i="13"/>
  <c r="I36" i="13"/>
  <c r="I35" i="13"/>
  <c r="M22" i="2"/>
  <c r="I33" i="13"/>
  <c r="H44" i="13"/>
  <c r="F44" i="2"/>
  <c r="M135" i="30"/>
  <c r="H15" i="8" s="1"/>
  <c r="I21" i="28"/>
  <c r="I25" i="28"/>
  <c r="I27" i="28" s="1"/>
  <c r="H25" i="28"/>
  <c r="H27" i="28" s="1"/>
  <c r="H29" i="28"/>
  <c r="H17" i="28"/>
  <c r="H19" i="28" s="1"/>
  <c r="H21" i="28"/>
  <c r="J17" i="28"/>
  <c r="J19" i="28" s="1"/>
  <c r="J21" i="28" s="1"/>
  <c r="AA13" i="30" s="1"/>
  <c r="F8" i="30" s="1"/>
  <c r="J25" i="28"/>
  <c r="J27" i="28" s="1"/>
  <c r="G7" i="30"/>
  <c r="I7" i="30"/>
  <c r="H7" i="30"/>
  <c r="K28" i="27"/>
  <c r="O22" i="8"/>
  <c r="R177" i="28"/>
  <c r="O152" i="28"/>
  <c r="R154" i="28" s="1"/>
  <c r="L59" i="28"/>
  <c r="L61" i="28" s="1"/>
  <c r="L63" i="28" s="1"/>
  <c r="G114" i="30" s="1"/>
  <c r="G115" i="30" s="1"/>
  <c r="C120" i="30"/>
  <c r="I121" i="30"/>
  <c r="I124" i="30" s="1"/>
  <c r="G132" i="30" s="1"/>
  <c r="G121" i="30"/>
  <c r="K121" i="30"/>
  <c r="K124" i="30" s="1"/>
  <c r="G133" i="30" s="1"/>
  <c r="E121" i="30"/>
  <c r="E115" i="30"/>
  <c r="R101" i="28"/>
  <c r="F61" i="13"/>
  <c r="F63" i="13" s="1"/>
  <c r="E93" i="30"/>
  <c r="O70" i="28"/>
  <c r="O68" i="28"/>
  <c r="K114" i="30"/>
  <c r="E145" i="30"/>
  <c r="G9" i="30"/>
  <c r="R235" i="28"/>
  <c r="I9" i="30"/>
  <c r="O72" i="28"/>
  <c r="G18" i="19"/>
  <c r="L24" i="19" s="1"/>
  <c r="K18" i="19"/>
  <c r="R89" i="28"/>
  <c r="R91" i="28" s="1"/>
  <c r="R102" i="28" s="1"/>
  <c r="R104" i="28" s="1"/>
  <c r="J35" i="8" s="1"/>
  <c r="J54" i="8" s="1"/>
  <c r="O59" i="28"/>
  <c r="O57" i="28"/>
  <c r="O63" i="28"/>
  <c r="O61" i="28"/>
  <c r="AA168" i="30"/>
  <c r="C62" i="30"/>
  <c r="H68" i="30" s="1"/>
  <c r="O141" i="28"/>
  <c r="R143" i="28" s="1"/>
  <c r="H56" i="13"/>
  <c r="F12" i="14"/>
  <c r="E7" i="14"/>
  <c r="F7" i="14" s="1"/>
  <c r="C10" i="14"/>
  <c r="D23" i="13"/>
  <c r="E61" i="13"/>
  <c r="E63" i="13" s="1"/>
  <c r="I40" i="7"/>
  <c r="D42" i="2"/>
  <c r="D44" i="2" s="1"/>
  <c r="F40" i="7"/>
  <c r="C61" i="13"/>
  <c r="C63" i="13" s="1"/>
  <c r="S6" i="7"/>
  <c r="N18" i="17"/>
  <c r="G54" i="13"/>
  <c r="E8" i="14"/>
  <c r="I34" i="15"/>
  <c r="I37" i="15"/>
  <c r="I38" i="15" s="1"/>
  <c r="C11" i="14"/>
  <c r="K42" i="2"/>
  <c r="L14" i="29"/>
  <c r="D61" i="13"/>
  <c r="D63" i="13" s="1"/>
  <c r="L42" i="2"/>
  <c r="G44" i="13"/>
  <c r="C9" i="14"/>
  <c r="S7" i="7"/>
  <c r="N30" i="17"/>
  <c r="C13" i="14"/>
  <c r="D8" i="23"/>
  <c r="M19" i="5"/>
  <c r="F21" i="14" l="1"/>
  <c r="L17" i="29"/>
  <c r="I54" i="13"/>
  <c r="H61" i="13"/>
  <c r="H63" i="13" s="1"/>
  <c r="I44" i="13"/>
  <c r="I8" i="30"/>
  <c r="H8" i="30"/>
  <c r="G8" i="30"/>
  <c r="E144" i="30"/>
  <c r="H12" i="30"/>
  <c r="F44" i="30" s="1"/>
  <c r="H57" i="30"/>
  <c r="D48" i="30"/>
  <c r="I12" i="30"/>
  <c r="H44" i="30" s="1"/>
  <c r="F48" i="30"/>
  <c r="H53" i="30"/>
  <c r="H48" i="30"/>
  <c r="F46" i="30"/>
  <c r="H46" i="30"/>
  <c r="D46" i="30"/>
  <c r="H51" i="30"/>
  <c r="I13" i="30"/>
  <c r="G12" i="30"/>
  <c r="D44" i="30" s="1"/>
  <c r="R190" i="28"/>
  <c r="R191" i="28" s="1"/>
  <c r="R192" i="28" s="1"/>
  <c r="M115" i="30"/>
  <c r="M124" i="30"/>
  <c r="G124" i="30"/>
  <c r="G136" i="30"/>
  <c r="G163" i="30" s="1"/>
  <c r="E124" i="30"/>
  <c r="C6" i="14"/>
  <c r="K44" i="2"/>
  <c r="J80" i="30"/>
  <c r="C99" i="30"/>
  <c r="C101" i="30" s="1"/>
  <c r="E103" i="30" s="1"/>
  <c r="C104" i="30"/>
  <c r="W18" i="16"/>
  <c r="L91" i="28"/>
  <c r="N91" i="28" s="1"/>
  <c r="I56" i="13"/>
  <c r="H18" i="19"/>
  <c r="E10" i="14"/>
  <c r="F10" i="14" s="1"/>
  <c r="M42" i="2"/>
  <c r="E13" i="14"/>
  <c r="F13" i="14" s="1"/>
  <c r="G61" i="13"/>
  <c r="E11" i="14"/>
  <c r="B22" i="13"/>
  <c r="L44" i="2"/>
  <c r="G4" i="14"/>
  <c r="D6" i="14"/>
  <c r="Q25" i="16"/>
  <c r="F9" i="14"/>
  <c r="E9" i="14"/>
  <c r="U25" i="16"/>
  <c r="D22" i="13"/>
  <c r="H69" i="30" l="1"/>
  <c r="E146" i="30"/>
  <c r="G144" i="30"/>
  <c r="G145" i="30"/>
  <c r="E132" i="30"/>
  <c r="F11" i="14"/>
  <c r="I61" i="13"/>
  <c r="G63" i="13"/>
  <c r="G45" i="2"/>
  <c r="E105" i="30"/>
  <c r="J87" i="30" s="1"/>
  <c r="M44" i="2"/>
  <c r="V25" i="16"/>
  <c r="E6" i="14"/>
  <c r="F6" i="14" l="1"/>
  <c r="J78" i="30"/>
  <c r="J81" i="30" s="1"/>
  <c r="J85" i="30"/>
  <c r="J88" i="30" s="1"/>
  <c r="E136" i="30"/>
  <c r="M132" i="30"/>
  <c r="H14" i="8" s="1"/>
  <c r="H17" i="8" s="1"/>
  <c r="I63" i="13"/>
  <c r="H10" i="8" l="1"/>
  <c r="J90" i="30"/>
  <c r="I144" i="30" s="1"/>
  <c r="L144" i="30" s="1"/>
  <c r="E162" i="30" s="1"/>
  <c r="M136" i="30"/>
  <c r="E163" i="30"/>
  <c r="M17" i="8"/>
  <c r="N15" i="8"/>
  <c r="I145" i="30" l="1"/>
  <c r="L145" i="30" s="1"/>
  <c r="G162" i="30" s="1"/>
  <c r="G164" i="30" s="1"/>
  <c r="G165" i="30" s="1"/>
  <c r="G166" i="30" s="1"/>
  <c r="M10" i="8"/>
  <c r="N9" i="8"/>
  <c r="O8" i="16"/>
  <c r="E164" i="30"/>
  <c r="E165" i="30" s="1"/>
  <c r="L163" i="30"/>
  <c r="R108" i="28" l="1"/>
  <c r="R109" i="28" s="1"/>
  <c r="O111" i="28" s="1"/>
  <c r="R115" i="28" s="1"/>
  <c r="L146" i="30"/>
  <c r="L165" i="30"/>
  <c r="L162" i="30"/>
  <c r="M56" i="8"/>
  <c r="L164" i="30"/>
  <c r="E166" i="30"/>
  <c r="L166" i="30" s="1"/>
  <c r="K28" i="19" l="1"/>
  <c r="K30" i="19" s="1"/>
  <c r="F22" i="5" l="1"/>
  <c r="D24" i="13"/>
  <c r="U26" i="16"/>
  <c r="U28" i="16" s="1"/>
  <c r="V26" i="16"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<sst xmlns="http://schemas.openxmlformats.org/spreadsheetml/2006/main" count="2912" uniqueCount="1411">
  <si>
    <t>District Name</t>
  </si>
  <si>
    <t>County</t>
  </si>
  <si>
    <t xml:space="preserve"> CTD number</t>
  </si>
  <si>
    <t>FY</t>
  </si>
  <si>
    <t>Revenues and property taxation</t>
  </si>
  <si>
    <t xml:space="preserve"> State of Arizona</t>
  </si>
  <si>
    <t>1.</t>
  </si>
  <si>
    <t xml:space="preserve">    School District Annual Expenditure Budget</t>
  </si>
  <si>
    <t>2.</t>
  </si>
  <si>
    <t>Districtwide Budget</t>
  </si>
  <si>
    <t xml:space="preserve">  Local</t>
  </si>
  <si>
    <t xml:space="preserve">1000    $ </t>
  </si>
  <si>
    <t xml:space="preserve">  Intermediate</t>
  </si>
  <si>
    <t xml:space="preserve">2000    $ </t>
  </si>
  <si>
    <t xml:space="preserve">  State</t>
  </si>
  <si>
    <t xml:space="preserve">3000    $ </t>
  </si>
  <si>
    <t>Version</t>
  </si>
  <si>
    <t xml:space="preserve">  Federal</t>
  </si>
  <si>
    <t xml:space="preserve">4000    $ </t>
  </si>
  <si>
    <t>By the Governing Board</t>
  </si>
  <si>
    <t xml:space="preserve">  TOTAL</t>
  </si>
  <si>
    <t xml:space="preserve">$ </t>
  </si>
  <si>
    <t>3.</t>
  </si>
  <si>
    <t>District tax rates for prior and budget fiscal years (A.R.S. §15-903.D.4)</t>
  </si>
  <si>
    <t xml:space="preserve">     Proposed</t>
  </si>
  <si>
    <t xml:space="preserve">Primary Tax Rate:               </t>
  </si>
  <si>
    <t xml:space="preserve">     Adopted</t>
  </si>
  <si>
    <t xml:space="preserve">Secondary Tax Rates:           </t>
  </si>
  <si>
    <t xml:space="preserve">     Revised</t>
  </si>
  <si>
    <t xml:space="preserve">   M&amp;O Override</t>
  </si>
  <si>
    <t>Date</t>
  </si>
  <si>
    <t xml:space="preserve">   Special Program Override</t>
  </si>
  <si>
    <t xml:space="preserve">   Capital Override</t>
  </si>
  <si>
    <t xml:space="preserve">   Class A Bonds</t>
  </si>
  <si>
    <t xml:space="preserve">   Class B Bonds</t>
  </si>
  <si>
    <t xml:space="preserve">   CTED</t>
  </si>
  <si>
    <t xml:space="preserve">   Desegregation</t>
  </si>
  <si>
    <t>Total Secondary Tax Rate</t>
  </si>
  <si>
    <t>Total budgeted expenditures and aggregate school district budget limit (A.R.S. §15-905.H)</t>
  </si>
  <si>
    <t>Signed</t>
  </si>
  <si>
    <t>4.</t>
  </si>
  <si>
    <t>Total aggregate school district budget limit (sum of lines 1 through 3)</t>
  </si>
  <si>
    <t xml:space="preserve"> </t>
  </si>
  <si>
    <t xml:space="preserve">the School Finance Budget System on ADE’s website by  </t>
  </si>
  <si>
    <t>.</t>
  </si>
  <si>
    <t>Average teacher salaries (A.R.S. §15-903.E)</t>
  </si>
  <si>
    <t>Check this box if your district has no teachers 
(transporting districts and some CTEDs).</t>
  </si>
  <si>
    <t>Superintendent signature</t>
  </si>
  <si>
    <t>Business Manager signature</t>
  </si>
  <si>
    <t>Increase in average teacher salary from the prior year</t>
  </si>
  <si>
    <t xml:space="preserve">Percentage increase </t>
  </si>
  <si>
    <t>Superintendent name (typed name)</t>
  </si>
  <si>
    <t>Business Manager name (typed name)</t>
  </si>
  <si>
    <t>District contact employee:</t>
  </si>
  <si>
    <t>Telephone:</t>
  </si>
  <si>
    <t>Email:</t>
  </si>
  <si>
    <t>District name</t>
  </si>
  <si>
    <t>CTD number</t>
  </si>
  <si>
    <t>AZ Dept of Juvenile Corrections (AZDJC)</t>
  </si>
  <si>
    <t>Infinite Visions</t>
  </si>
  <si>
    <t>BocaVox (Maestro)</t>
  </si>
  <si>
    <t>Munis</t>
  </si>
  <si>
    <t>Edupoint (Synergy)</t>
  </si>
  <si>
    <t>PowerSchool BusinessPlus</t>
  </si>
  <si>
    <t>Edupoint (Edupoint)</t>
  </si>
  <si>
    <t>Other, please add at right</t>
  </si>
  <si>
    <t>Hane Solutions (SchoolDex)</t>
  </si>
  <si>
    <t>InfiniteCampus (InfiniteCampus)</t>
  </si>
  <si>
    <t>JupiterEd (JupiterEd)</t>
  </si>
  <si>
    <t>MediaNet Solutions (e-IEP PRO)</t>
  </si>
  <si>
    <t>PowerSchool (PowerSchool)</t>
  </si>
  <si>
    <t>Strongmind (Strongmind)</t>
  </si>
  <si>
    <t>Tyler Technologies (Schoolmaster)</t>
  </si>
  <si>
    <t>Tyler Technologies (Tyler SIS v10)</t>
  </si>
  <si>
    <t>FOCUS School Software LLC</t>
  </si>
  <si>
    <t>Fund 001 (M&amp;O)</t>
  </si>
  <si>
    <t>Maintenance and Operation (M&amp;O) Fund</t>
  </si>
  <si>
    <t>Employee</t>
  </si>
  <si>
    <t>Purchased</t>
  </si>
  <si>
    <t>Totals</t>
  </si>
  <si>
    <t>FTE</t>
  </si>
  <si>
    <t>Salaries</t>
  </si>
  <si>
    <t>Supplies</t>
  </si>
  <si>
    <t>Other</t>
  </si>
  <si>
    <t>Prior</t>
  </si>
  <si>
    <t>Budget</t>
  </si>
  <si>
    <t>%</t>
  </si>
  <si>
    <t>Expenditures</t>
  </si>
  <si>
    <t>6300, 6400,</t>
  </si>
  <si>
    <t>Increase/</t>
  </si>
  <si>
    <t>6100</t>
  </si>
  <si>
    <t>6200</t>
  </si>
  <si>
    <t>6500</t>
  </si>
  <si>
    <t>6800</t>
  </si>
  <si>
    <t>Decrease</t>
  </si>
  <si>
    <t>100 Regular Education</t>
  </si>
  <si>
    <t xml:space="preserve">   1000 Instruction</t>
  </si>
  <si>
    <t xml:space="preserve">      2100 Students</t>
  </si>
  <si>
    <t>5.</t>
  </si>
  <si>
    <t>6.</t>
  </si>
  <si>
    <t>7.</t>
  </si>
  <si>
    <t xml:space="preserve">      2900 Other</t>
  </si>
  <si>
    <t>8.</t>
  </si>
  <si>
    <t>9.</t>
  </si>
  <si>
    <t>10.</t>
  </si>
  <si>
    <t>11.</t>
  </si>
  <si>
    <t>12.</t>
  </si>
  <si>
    <t>13.</t>
  </si>
  <si>
    <t>14.</t>
  </si>
  <si>
    <t>15.</t>
  </si>
  <si>
    <t>16.</t>
  </si>
  <si>
    <t>17.</t>
  </si>
  <si>
    <t>18.</t>
  </si>
  <si>
    <t>19.</t>
  </si>
  <si>
    <t>20.</t>
  </si>
  <si>
    <t>21.</t>
  </si>
  <si>
    <t>22.</t>
  </si>
  <si>
    <t>23.</t>
  </si>
  <si>
    <t xml:space="preserve">   Subtotal (lines 15-23)  </t>
  </si>
  <si>
    <t>24.</t>
  </si>
  <si>
    <t>25.</t>
  </si>
  <si>
    <t xml:space="preserve">    Budget, page 2, line 44)</t>
  </si>
  <si>
    <t>26.</t>
  </si>
  <si>
    <t>27.</t>
  </si>
  <si>
    <t>28.</t>
  </si>
  <si>
    <t>29.</t>
  </si>
  <si>
    <t>30.</t>
  </si>
  <si>
    <t xml:space="preserve">          </t>
  </si>
  <si>
    <r>
      <t>(A.R.S. §</t>
    </r>
    <r>
      <rPr>
        <sz val="10"/>
        <rFont val="Calibri"/>
        <family val="2"/>
      </rPr>
      <t>§</t>
    </r>
    <r>
      <rPr>
        <sz val="10"/>
        <rFont val="Times New Roman"/>
        <family val="1"/>
      </rPr>
      <t xml:space="preserve"> 15-761 and 15-903)</t>
    </r>
  </si>
  <si>
    <t>Prior FY</t>
  </si>
  <si>
    <t>Budget FY</t>
  </si>
  <si>
    <t>Expenditures budgeted for audit services</t>
  </si>
  <si>
    <t>total of line 24, page 1)</t>
  </si>
  <si>
    <t>IEP required pupil transportation costs</t>
  </si>
  <si>
    <t>Expenditures budgeted in the M&amp;O Fund for food service</t>
  </si>
  <si>
    <t>coded within Program 400</t>
  </si>
  <si>
    <t>(This amount will be used to determine district compliance with state matching</t>
  </si>
  <si>
    <t>requirements pursuant to Code of Federal Regulations (CFR) Title 7, §210.17(a)]</t>
  </si>
  <si>
    <t>Proposed ratios for special education</t>
  </si>
  <si>
    <t>(A.R.S. §§15-903.E.1 and 15-764.A.5)</t>
  </si>
  <si>
    <t xml:space="preserve">District name </t>
  </si>
  <si>
    <t>Fund 010 (CSF)</t>
  </si>
  <si>
    <t>Classroom Site Fund (CSF) and CSF Budget Limit (A.R.S. §§ 15-977 and 15-978)</t>
  </si>
  <si>
    <t>Debt service</t>
  </si>
  <si>
    <t>Employee benefits</t>
  </si>
  <si>
    <t>Purchased services</t>
  </si>
  <si>
    <t>Property</t>
  </si>
  <si>
    <t>and miscellaneous</t>
  </si>
  <si>
    <t>6300, 6400, 6500</t>
  </si>
  <si>
    <t xml:space="preserve">     1000 Instruction</t>
  </si>
  <si>
    <t xml:space="preserve">     2100 Support services - students</t>
  </si>
  <si>
    <t xml:space="preserve">     2200 Support services - instructional staff</t>
  </si>
  <si>
    <t xml:space="preserve">     2300 Support services - general administration</t>
  </si>
  <si>
    <t xml:space="preserve">     2500 Central services</t>
  </si>
  <si>
    <t xml:space="preserve">     4000 Facilities acquisition and construction</t>
  </si>
  <si>
    <t xml:space="preserve">     5000 Debt service </t>
  </si>
  <si>
    <t xml:space="preserve">(1) This line may be used to recapture lost CSF budget capacity that resulted from underbudgeting in prior fiscal years. </t>
  </si>
  <si>
    <t>Fund 610 (UCO)</t>
  </si>
  <si>
    <t>Unrestricted Capital Outlay (UCO) Fund</t>
  </si>
  <si>
    <t>Rentals</t>
  </si>
  <si>
    <t xml:space="preserve">Library books, textbooks, </t>
  </si>
  <si>
    <t>Short-term noninstructional software subscription</t>
  </si>
  <si>
    <t>Property (2)</t>
  </si>
  <si>
    <t>Redemption of principal (3)</t>
  </si>
  <si>
    <t>Interest (4)</t>
  </si>
  <si>
    <t xml:space="preserve"> &amp; instructional</t>
  </si>
  <si>
    <t>All other</t>
  </si>
  <si>
    <t>aids (2)</t>
  </si>
  <si>
    <t>object codes</t>
  </si>
  <si>
    <t>6641-6643</t>
  </si>
  <si>
    <t>6831, 6832, 6833</t>
  </si>
  <si>
    <t>6841, 6842, 6843, 6850</t>
  </si>
  <si>
    <t>(excluding 6900)</t>
  </si>
  <si>
    <t>Unrestricted Capital Outlay Fund 610 (6)</t>
  </si>
  <si>
    <t xml:space="preserve">        1000  Instruction</t>
  </si>
  <si>
    <t xml:space="preserve">            2300, 2400, 2500, 2900  Administration</t>
  </si>
  <si>
    <t>(5)</t>
  </si>
  <si>
    <t>Expenditures budgeted in Unrestricted Capital Outlay (UCO) Fund for food service</t>
  </si>
  <si>
    <t xml:space="preserve">Enter the amount budgeted in UCO for food service [amount will be used to determine district </t>
  </si>
  <si>
    <t>compliance with state matching requirements pursuant to CFR Title 7, §210.17(a)]</t>
  </si>
  <si>
    <t>Unrestricted Capital Outlay</t>
  </si>
  <si>
    <t>(6)</t>
  </si>
  <si>
    <r>
      <t xml:space="preserve">Expenditures, if any, budgeted in the Unrestricted Capital Outlay Fund on lines </t>
    </r>
    <r>
      <rPr>
        <sz val="9"/>
        <color indexed="8"/>
        <rFont val="Times New Roman"/>
        <family val="1"/>
      </rPr>
      <t xml:space="preserve">2-9 for </t>
    </r>
    <r>
      <rPr>
        <sz val="9"/>
        <rFont val="Times New Roman"/>
        <family val="1"/>
      </rPr>
      <t>the K-3 Reading Program as described in A.R.S. §15-211.</t>
    </r>
  </si>
  <si>
    <t>6642 Textbooks</t>
  </si>
  <si>
    <t>673X Vehicles</t>
  </si>
  <si>
    <t xml:space="preserve">(3)    Includes principal on Capital Equity Fund loans of </t>
  </si>
  <si>
    <t>, principal on leases of</t>
  </si>
  <si>
    <t>, and principal on bonds of</t>
  </si>
  <si>
    <t xml:space="preserve">(4)    Includes interest on Capital Equity Fund loans of </t>
  </si>
  <si>
    <t>, interest on leases of</t>
  </si>
  <si>
    <t>, and interest on bonds of</t>
  </si>
  <si>
    <t>Other funds—required capital expenditure detail [(A.R.S. §15-904.(B)]</t>
  </si>
  <si>
    <t>Bond Building</t>
  </si>
  <si>
    <t>New School Facilities</t>
  </si>
  <si>
    <t>Adjacent Ways</t>
  </si>
  <si>
    <t>Fund 610</t>
  </si>
  <si>
    <t>Fund 630</t>
  </si>
  <si>
    <t>Fund 695</t>
  </si>
  <si>
    <t>Fund 620 (2)</t>
  </si>
  <si>
    <t xml:space="preserve">        673X Vehicles </t>
  </si>
  <si>
    <t xml:space="preserve">       Renovation</t>
  </si>
  <si>
    <t xml:space="preserve">       Other</t>
  </si>
  <si>
    <t xml:space="preserve">CTD number </t>
  </si>
  <si>
    <t>Special projects</t>
  </si>
  <si>
    <t>Other funds expenditures</t>
  </si>
  <si>
    <t>Total all functions</t>
  </si>
  <si>
    <t>050  County, City, and Town Grants</t>
  </si>
  <si>
    <t>Federal projects FTE &amp; expenditures</t>
  </si>
  <si>
    <t>071   English Language Learner  (1)</t>
  </si>
  <si>
    <t>072  Compensatory Instruction (1)</t>
  </si>
  <si>
    <t>500  School Plant  (2)</t>
  </si>
  <si>
    <t>510  Food Service</t>
  </si>
  <si>
    <t>515  Civic Center</t>
  </si>
  <si>
    <t>520  Community School</t>
  </si>
  <si>
    <t>525  Auxiliary Operations</t>
  </si>
  <si>
    <t>526  Extracurricular Activities Fees Tax Credit</t>
  </si>
  <si>
    <t>530  Gifts and Donations</t>
  </si>
  <si>
    <t>230 Johnson-O'Malley</t>
  </si>
  <si>
    <t>535  Career &amp; Technical Education Projects</t>
  </si>
  <si>
    <t>540  Fingerprint</t>
  </si>
  <si>
    <t>250 AEA -  Adult Education</t>
  </si>
  <si>
    <t>545  School Opening</t>
  </si>
  <si>
    <t>260-270 Vocational Education - Basic Grants</t>
  </si>
  <si>
    <t>550  Insurance Proceeds</t>
  </si>
  <si>
    <t>280 ESEA Title X - Homeless Education</t>
  </si>
  <si>
    <t>555  Textbooks</t>
  </si>
  <si>
    <t>290 Medicaid Reimbursement</t>
  </si>
  <si>
    <t>565  Litigation Recovery</t>
  </si>
  <si>
    <t>349 National Forest Fees</t>
  </si>
  <si>
    <t>570  Indirect Costs</t>
  </si>
  <si>
    <t>353 Taylor Grazing Fees</t>
  </si>
  <si>
    <t>575  Unemployment Insurance</t>
  </si>
  <si>
    <t>374 E-Rate</t>
  </si>
  <si>
    <t>580  Teacherage</t>
  </si>
  <si>
    <t>378 Impact Aid</t>
  </si>
  <si>
    <t>585  Insurance Refund</t>
  </si>
  <si>
    <t>590  Grants and Gifts to Teachers</t>
  </si>
  <si>
    <t>595  Advertisement</t>
  </si>
  <si>
    <t>596  Career Technical Education</t>
  </si>
  <si>
    <t>State projects FTE &amp; expenditures</t>
  </si>
  <si>
    <t>597  Arizona Industry Credentials Incentive</t>
  </si>
  <si>
    <t>639  Impact Aid Revenue Bond Building</t>
  </si>
  <si>
    <t>410 Early Childhood Block Grant</t>
  </si>
  <si>
    <t>650  Gifts and Donations-Capital</t>
  </si>
  <si>
    <t>660  Condemnation</t>
  </si>
  <si>
    <t>665  Energy and Water Savings</t>
  </si>
  <si>
    <t>686  Emergency Deficiencies Correction</t>
  </si>
  <si>
    <t>691  Building Renewal Grant</t>
  </si>
  <si>
    <t>31.</t>
  </si>
  <si>
    <t>700  Debt Service</t>
  </si>
  <si>
    <t>32.</t>
  </si>
  <si>
    <t>720  Impact Aid Revenue Bond Debt Service</t>
  </si>
  <si>
    <t>460 Environmental Special Plate</t>
  </si>
  <si>
    <t>33.</t>
  </si>
  <si>
    <t>850  Student Activities</t>
  </si>
  <si>
    <t>34.</t>
  </si>
  <si>
    <t>Internal Service Funds 950-989</t>
  </si>
  <si>
    <t>9___ Self-Insurance</t>
  </si>
  <si>
    <t>955  Intergovernmental Agreements</t>
  </si>
  <si>
    <t>9__  OPEB</t>
  </si>
  <si>
    <t>9___   ______________________</t>
  </si>
  <si>
    <t>(1)</t>
  </si>
  <si>
    <t>Total Instructional Improvement Fund (lines 1-4)</t>
  </si>
  <si>
    <t>(2)</t>
  </si>
  <si>
    <t>Indicate amount budgeted in Fund 500 for M&amp;O purposes</t>
  </si>
  <si>
    <t>(A.R.S. §15-947.C)</t>
  </si>
  <si>
    <t>A.</t>
  </si>
  <si>
    <t>B.</t>
  </si>
  <si>
    <t>Maintenance</t>
  </si>
  <si>
    <t>Unrestricted</t>
  </si>
  <si>
    <t>and Operation</t>
  </si>
  <si>
    <t>Capital Outlay</t>
  </si>
  <si>
    <t>*1.</t>
  </si>
  <si>
    <t>$</t>
  </si>
  <si>
    <t>*2.</t>
  </si>
  <si>
    <t>(a)</t>
  </si>
  <si>
    <t>(b)</t>
  </si>
  <si>
    <t>(c)</t>
  </si>
  <si>
    <t>Total DAA (line 2.a plus 2.b)</t>
  </si>
  <si>
    <t>*3.</t>
  </si>
  <si>
    <t>Calculation of Maximum Override for a District No Longer Eligible for a Small School Adjustment, line 6 and Calculation of Small School Adjustment Phase Down Limit, line 6)</t>
  </si>
  <si>
    <t xml:space="preserve">Maintenance and Operation </t>
  </si>
  <si>
    <t>Special Program</t>
  </si>
  <si>
    <t>*4.</t>
  </si>
  <si>
    <t>*5.</t>
  </si>
  <si>
    <r>
      <t xml:space="preserve">(Do </t>
    </r>
    <r>
      <rPr>
        <b/>
        <sz val="9"/>
        <color indexed="8"/>
        <rFont val="Times New Roman"/>
        <family val="1"/>
      </rPr>
      <t>not</t>
    </r>
    <r>
      <rPr>
        <sz val="9"/>
        <color indexed="8"/>
        <rFont val="Times New Roman"/>
        <family val="1"/>
      </rPr>
      <t xml:space="preserve"> include full-day kindergarten or summer school tuition)</t>
    </r>
  </si>
  <si>
    <t>(d)</t>
  </si>
  <si>
    <t>Certificates of Educational Convenience (A.R.S. §§15-825, 15-825.01, and 15-825.02)</t>
  </si>
  <si>
    <t>*6.</t>
  </si>
  <si>
    <t>*7.</t>
  </si>
  <si>
    <t>*</t>
  </si>
  <si>
    <t>(e)</t>
  </si>
  <si>
    <t>(f)</t>
  </si>
  <si>
    <t>(g)</t>
  </si>
  <si>
    <t>(h)</t>
  </si>
  <si>
    <t>*9.</t>
  </si>
  <si>
    <t>Adjustment to the General Budget Limit (A.R.S. §§15-272, 15-905.M, 15-910.02, and 15-915) 
Include year(s) and descriptions, as applicable.</t>
  </si>
  <si>
    <t>Other:</t>
  </si>
  <si>
    <t>( A.R.S. §15-905.F) (to page 8, line 11)</t>
  </si>
  <si>
    <t xml:space="preserve">District name      </t>
  </si>
  <si>
    <t>Unrestricted Capital Budget Limit</t>
  </si>
  <si>
    <t>adoption, use zero.)</t>
  </si>
  <si>
    <t>Lesser of line 3 or the sum of line 4 and any positive adjustment on line 2</t>
  </si>
  <si>
    <t>to date plus estimated expenditures through fiscal year-end.)</t>
  </si>
  <si>
    <t>calculation, but show negative amount here in parentheses.</t>
  </si>
  <si>
    <t>Monies deposited in Fund 610 from Division of School Facilities for donated land (A.R.S. §41-5741.F)</t>
  </si>
  <si>
    <t>English Language Learners Supplement</t>
  </si>
  <si>
    <t>benefits</t>
  </si>
  <si>
    <t>services</t>
  </si>
  <si>
    <t>English Language Learner Fund 071  (A.R.S. §15-756.04)</t>
  </si>
  <si>
    <t>Compensatory Instruction Fund 072  (A.R.S. §15-756.11)</t>
  </si>
  <si>
    <t>proposed by the Governing Board on,</t>
  </si>
  <si>
    <t>revised by the Governing Board on,</t>
  </si>
  <si>
    <t>adopted by the Governing Board on,</t>
  </si>
  <si>
    <t>I certify that the budget of</t>
  </si>
  <si>
    <t xml:space="preserve">District, </t>
  </si>
  <si>
    <t>, and that the complete Proposed Expenditure Budget may be reviewed by contacting</t>
  </si>
  <si>
    <t>, and that the complete Adopted Expenditure Budget may be reviewed by contacting</t>
  </si>
  <si>
    <t>, and that the complete Revised Expenditure Budget may be reviewed by contacting</t>
  </si>
  <si>
    <t>during normal business hours.</t>
  </si>
  <si>
    <t>President of the Governing Board</t>
  </si>
  <si>
    <t>Prior year</t>
  </si>
  <si>
    <t>Budget year</t>
  </si>
  <si>
    <t>4. Average teacher salaries (A.R.S. §15-903.E)</t>
  </si>
  <si>
    <t>Attending</t>
  </si>
  <si>
    <t>3. Increase in average teacher salary from the prior year</t>
  </si>
  <si>
    <t>Est. Budget FY</t>
  </si>
  <si>
    <t xml:space="preserve">4. Percentage increase </t>
  </si>
  <si>
    <r>
      <t xml:space="preserve">Primary rate </t>
    </r>
    <r>
      <rPr>
        <sz val="8"/>
        <color indexed="8"/>
        <rFont val="Times New Roman"/>
        <family val="1"/>
      </rPr>
      <t>(equalization formula funding and budget add-ons not required to be in secondary rate)</t>
    </r>
  </si>
  <si>
    <t>Maintenance &amp; Operation Fund</t>
  </si>
  <si>
    <t>Classroom Site Fund</t>
  </si>
  <si>
    <t>Unrestricted Capital Outlay Fund</t>
  </si>
  <si>
    <t>% Inc./(Decr.)</t>
  </si>
  <si>
    <t>TOTAL</t>
  </si>
  <si>
    <t>from</t>
  </si>
  <si>
    <t xml:space="preserve">      2300, 2400, 2500 Administration</t>
  </si>
  <si>
    <t xml:space="preserve">      2900 Other </t>
  </si>
  <si>
    <t>510 Desegregation</t>
  </si>
  <si>
    <t>Total expenditures by fund</t>
  </si>
  <si>
    <t>$ Increase/(Decrease)</t>
  </si>
  <si>
    <t>% Increase/(Decrease)</t>
  </si>
  <si>
    <t>Fund</t>
  </si>
  <si>
    <t>Maintenance &amp; Operation</t>
  </si>
  <si>
    <t>Instructional Improvement</t>
  </si>
  <si>
    <t>English Language Learner</t>
  </si>
  <si>
    <t>Compensatory Instruction</t>
  </si>
  <si>
    <t>Classroom Site</t>
  </si>
  <si>
    <t>Federal Projects</t>
  </si>
  <si>
    <t>State Projects</t>
  </si>
  <si>
    <t>Debt Service</t>
  </si>
  <si>
    <t>School Plant Fund</t>
  </si>
  <si>
    <t>Auxiliary Operations</t>
  </si>
  <si>
    <t>Food Service</t>
  </si>
  <si>
    <r>
      <t>Program (A.R.S. §§15-761</t>
    </r>
    <r>
      <rPr>
        <b/>
        <sz val="8"/>
        <rFont val="Times New Roman"/>
        <family val="1"/>
      </rPr>
      <t xml:space="preserve"> and 15-903)</t>
    </r>
  </si>
  <si>
    <t xml:space="preserve">             TOTAL</t>
  </si>
  <si>
    <t>Proposed staffing summary</t>
  </si>
  <si>
    <t>Employee FTE</t>
  </si>
  <si>
    <t>Total FTE</t>
  </si>
  <si>
    <t>Certified --</t>
  </si>
  <si>
    <t>Total</t>
  </si>
  <si>
    <t>Superintendent, principals, other administrators</t>
  </si>
  <si>
    <t>1  to</t>
  </si>
  <si>
    <t>Teachers</t>
  </si>
  <si>
    <t>Subtotal</t>
  </si>
  <si>
    <t>Classified --</t>
  </si>
  <si>
    <t>Managers, supervisors, directors</t>
  </si>
  <si>
    <t>Teachers aides</t>
  </si>
  <si>
    <t>Special education --</t>
  </si>
  <si>
    <t>Teacher</t>
  </si>
  <si>
    <t xml:space="preserve">1 to </t>
  </si>
  <si>
    <t>Staff</t>
  </si>
  <si>
    <t>Deduction for discontinued programs</t>
  </si>
  <si>
    <t>Primary property tax rate related to budgeted expenditures</t>
  </si>
  <si>
    <t xml:space="preserve">Desegregation (no longer a primary levy, must be zero) </t>
  </si>
  <si>
    <t>Dropout prevention (from page 1, line 27)</t>
  </si>
  <si>
    <t>Small school adjustment (from page 7, line 4, columns A and B)</t>
  </si>
  <si>
    <t>a.</t>
  </si>
  <si>
    <t>b.</t>
  </si>
  <si>
    <t>c.</t>
  </si>
  <si>
    <t>Expenditures over/(under) original budget (line 8.a minus line 8.b)</t>
  </si>
  <si>
    <t>Small school adjustment</t>
  </si>
  <si>
    <t>Amount over/(under) budget for small school adjustment (line 9.a minus line 9.b)</t>
  </si>
  <si>
    <t>Total (add lines 4 through 7 and line 8.c. and line 9.c.)</t>
  </si>
  <si>
    <t>(Line 10 minus line 3.  If negative, enter zero.)</t>
  </si>
  <si>
    <t>pursuant to A.R.S. §15-995 (from page 5, footnote 2) (1)</t>
  </si>
  <si>
    <t xml:space="preserve">A. </t>
  </si>
  <si>
    <t>Sum of lines 11, 12, and 13</t>
  </si>
  <si>
    <t xml:space="preserve">B.1. </t>
  </si>
  <si>
    <t>Current assessed value</t>
  </si>
  <si>
    <t xml:space="preserve">B.2. </t>
  </si>
  <si>
    <t>(Line 3 divided by line B.1) x $10,000</t>
  </si>
  <si>
    <t xml:space="preserve">C.1. </t>
  </si>
  <si>
    <t>Sum of lines 3, 11, 12, and 13</t>
  </si>
  <si>
    <t xml:space="preserve">C.2. </t>
  </si>
  <si>
    <t xml:space="preserve">(Line C.1 divided by line B.1) x $10,000 </t>
  </si>
  <si>
    <t>Funds</t>
  </si>
  <si>
    <t>General</t>
  </si>
  <si>
    <t xml:space="preserve">Debt Service </t>
  </si>
  <si>
    <t xml:space="preserve">Permanent </t>
  </si>
  <si>
    <t xml:space="preserve">Enterprise </t>
  </si>
  <si>
    <t>Internal Services</t>
  </si>
  <si>
    <t>Total all funds</t>
  </si>
  <si>
    <t>Maintenance and Operations</t>
  </si>
  <si>
    <t>Unrestricted Capital Outlay  
(if included in the General Fund)</t>
  </si>
  <si>
    <t>Other funds reported in the General Fund</t>
  </si>
  <si>
    <r>
      <t xml:space="preserve">Unrestricted Capital Outlay (if </t>
    </r>
    <r>
      <rPr>
        <b/>
        <u/>
        <sz val="10"/>
        <color indexed="8"/>
        <rFont val="Times New Roman"/>
        <family val="1"/>
      </rPr>
      <t>not</t>
    </r>
    <r>
      <rPr>
        <b/>
        <sz val="10"/>
        <color indexed="8"/>
        <rFont val="Times New Roman"/>
        <family val="1"/>
      </rPr>
      <t xml:space="preserve"> included in the General Fund)</t>
    </r>
  </si>
  <si>
    <t xml:space="preserve">Bond Building </t>
  </si>
  <si>
    <t xml:space="preserve">Adjacent Ways </t>
  </si>
  <si>
    <t xml:space="preserve">Other capital projects </t>
  </si>
  <si>
    <t xml:space="preserve">Classroom Site </t>
  </si>
  <si>
    <t xml:space="preserve">Federal and State Grant </t>
  </si>
  <si>
    <t xml:space="preserve">Other special revenue </t>
  </si>
  <si>
    <t>Yes</t>
  </si>
  <si>
    <t>No</t>
  </si>
  <si>
    <t xml:space="preserve">(a) Nonspendable </t>
  </si>
  <si>
    <t>(b) Restricted</t>
  </si>
  <si>
    <t>(c) Committed</t>
  </si>
  <si>
    <t>(d) Assigned</t>
  </si>
  <si>
    <t>(e) Unassigned</t>
  </si>
  <si>
    <t>(f) Total (amount must agree to line 3 above)</t>
  </si>
  <si>
    <t>(a) Fund deficit</t>
  </si>
  <si>
    <t>(b) Fund balance exceeding budget capacity in budget controlled funds</t>
  </si>
  <si>
    <t>(e) Total (amount must agree to line 3 above)</t>
  </si>
  <si>
    <t>Comments (optional)</t>
  </si>
  <si>
    <t>Data entry sheet</t>
  </si>
  <si>
    <t>More than 0.5 mile through 1.0 mile</t>
  </si>
  <si>
    <t>Unweighted student count</t>
  </si>
  <si>
    <r>
      <rPr>
        <b/>
        <sz val="9"/>
        <rFont val="Times New Roman"/>
        <family val="1"/>
      </rPr>
      <t xml:space="preserve">All districts must complete lines 1 through 6 below. 
</t>
    </r>
    <r>
      <rPr>
        <sz val="9"/>
        <rFont val="Times New Roman"/>
        <family val="1"/>
      </rPr>
      <t>Prior years ADM amounts (lines 1 and 2) are used to calculate district additional assistance (DAA), including DAA growth factor if applicable, in accordance with A.R.S. §15-961. Estimated current year ADM (lines 3 through 6) is used to calculate the Group A weighted student count included in the Base Support Level calculation on the BSA55 tab, page 2.</t>
    </r>
  </si>
  <si>
    <t>PSD</t>
  </si>
  <si>
    <t>K-8</t>
  </si>
  <si>
    <t>9-12</t>
  </si>
  <si>
    <t xml:space="preserve">2. </t>
  </si>
  <si>
    <t>Student count by category</t>
  </si>
  <si>
    <t>Student counts used to calculate the Group B weighted add-on count used in calculating the Base Support Level.</t>
  </si>
  <si>
    <t>K-3 Reading</t>
  </si>
  <si>
    <t>K-3</t>
  </si>
  <si>
    <t>ELL</t>
  </si>
  <si>
    <t>HI</t>
  </si>
  <si>
    <t>MD-R, A-R, and SID-R</t>
  </si>
  <si>
    <t>MD-SC, A-SC, and SID-SC</t>
  </si>
  <si>
    <t>MD-SSI</t>
  </si>
  <si>
    <t>OI-R</t>
  </si>
  <si>
    <t>OI-SC</t>
  </si>
  <si>
    <t>P-SD</t>
  </si>
  <si>
    <t>DD*, ED, MIID, SLD, SLI*, and OHI</t>
  </si>
  <si>
    <t>*School aged students only</t>
  </si>
  <si>
    <t>ED-P</t>
  </si>
  <si>
    <t>MOID</t>
  </si>
  <si>
    <t>VI</t>
  </si>
  <si>
    <t>G</t>
  </si>
  <si>
    <t>FRPL</t>
  </si>
  <si>
    <t>Adjustments to base support level/base revenue control limit (A.R.S. §15-944.E)</t>
  </si>
  <si>
    <t>Check box(es) if the district's schools are designated as small isolated by the State Board of Education. (A.R.S. §15-901)</t>
  </si>
  <si>
    <t>Check box if the district has been approved to provide at least 200 days of instruction by ADE. (A.R.S. §15-902.04)</t>
  </si>
  <si>
    <r>
      <t>Transportation (A.R.S. §§15-816.01, 15-945</t>
    </r>
    <r>
      <rPr>
        <b/>
        <sz val="12"/>
        <rFont val="Times New Roman"/>
        <family val="1"/>
      </rPr>
      <t>,</t>
    </r>
    <r>
      <rPr>
        <b/>
        <sz val="12"/>
        <color indexed="8"/>
        <rFont val="Times New Roman"/>
        <family val="1"/>
      </rPr>
      <t xml:space="preserve"> and 15-946)</t>
    </r>
  </si>
  <si>
    <t>Other information</t>
  </si>
  <si>
    <t>Capital transportation adjustment (A.R.S. §15-963.B)</t>
  </si>
  <si>
    <t>Adjustment for remote instructional time calculated by ADE (A.R.S. §15-901.08, leave blank for budget adoption)</t>
  </si>
  <si>
    <t>Consolidation/unification increase for transitional costs incurred in first year (A.R.S. §§15-912 and 15-912.01)</t>
  </si>
  <si>
    <t>Assessed property valuations</t>
  </si>
  <si>
    <t>Budget balance carryforward (A.R.S. §15-943.01)</t>
  </si>
  <si>
    <t xml:space="preserve">Desegregation (A.R.S. §15-910) </t>
  </si>
  <si>
    <t xml:space="preserve">Dropout prevention programs </t>
  </si>
  <si>
    <t>d.</t>
  </si>
  <si>
    <t xml:space="preserve">Performance pay (A.R.S. §15-920) </t>
  </si>
  <si>
    <t>TRCL/TSL difference</t>
  </si>
  <si>
    <t>Districts operating under the provisions of the small school adjustment (A.R.S. §15-949):</t>
  </si>
  <si>
    <t>Enter the fiscal year that the district exceeded the allowable student counts for the first time. (A.R.S. §15-949.C and .E)</t>
  </si>
  <si>
    <t>For unified districts that qualified for a phase down limit for K-8 or 9-12 but not both, enter 10% of the RCL attributable to the nonqualifying K-8 or 9-12 weighted student count as provided in A.R.S. §15-971(B)(2)(a).</t>
  </si>
  <si>
    <t>Districts needing BSL adjustment due to tuition loss (A.R.S. §§15-954 and 15-902.01):</t>
  </si>
  <si>
    <t xml:space="preserve">Only complete this section if the district receives less tuition from a district which is inside or outside of this
state because the district of residence began to offer instruction in one or more high school grade levels not
previously offered. </t>
  </si>
  <si>
    <t xml:space="preserve">Base year - the fiscal year before the other district began to offer instruction </t>
  </si>
  <si>
    <t>Base year attending ADM grades 9-12</t>
  </si>
  <si>
    <t xml:space="preserve">Number of tuitioned students lost in the year after the base year due to district of residence offering instruction in grades 9-12 not offered previously </t>
  </si>
  <si>
    <t xml:space="preserve">Tuition received in base year </t>
  </si>
  <si>
    <t xml:space="preserve">Tuition received in fiscal year after base year </t>
  </si>
  <si>
    <t>Check box if the district lost student count resulting from the formation of a joint unified school district pursuant to A.R.S. §15-450</t>
  </si>
  <si>
    <t>Type 03 district information</t>
  </si>
  <si>
    <t xml:space="preserve">High school student count transported by district of residence to district of attendance (A.R.S. §15-961.D) </t>
  </si>
  <si>
    <t>Accommodation district (TYPE 01) information (A.R.S. §15-974)</t>
  </si>
  <si>
    <r>
      <t xml:space="preserve">Check box if the district offers instruction in grades 9-12. </t>
    </r>
    <r>
      <rPr>
        <b/>
        <sz val="9"/>
        <rFont val="Times New Roman"/>
        <family val="1"/>
      </rPr>
      <t>Accommodation districts only.</t>
    </r>
  </si>
  <si>
    <r>
      <t xml:space="preserve">Only accommodation districts with a student count of </t>
    </r>
    <r>
      <rPr>
        <b/>
        <sz val="9"/>
        <rFont val="Times New Roman"/>
        <family val="1"/>
      </rPr>
      <t>more</t>
    </r>
    <r>
      <rPr>
        <sz val="9"/>
        <rFont val="Times New Roman"/>
        <family val="1"/>
      </rPr>
      <t xml:space="preserve"> than 125 in grades K-8 </t>
    </r>
    <r>
      <rPr>
        <b/>
        <sz val="9"/>
        <rFont val="Times New Roman"/>
        <family val="1"/>
      </rPr>
      <t>or</t>
    </r>
    <r>
      <rPr>
        <sz val="9"/>
        <rFont val="Times New Roman"/>
        <family val="1"/>
      </rPr>
      <t xml:space="preserve"> accommodation districts that offer instruction in
grades 9-12 and have a student count of </t>
    </r>
    <r>
      <rPr>
        <b/>
        <sz val="9"/>
        <rFont val="Times New Roman"/>
        <family val="1"/>
      </rPr>
      <t>more</t>
    </r>
    <r>
      <rPr>
        <sz val="9"/>
        <rFont val="Times New Roman"/>
        <family val="1"/>
      </rPr>
      <t xml:space="preserve"> than 100 in grades 9-12, should complete lines 2 through 4. </t>
    </r>
  </si>
  <si>
    <t>Calculations</t>
  </si>
  <si>
    <t>Designated as isolated</t>
  </si>
  <si>
    <t>Not designated as isolated</t>
  </si>
  <si>
    <t>Support Level Weight</t>
  </si>
  <si>
    <t>-</t>
  </si>
  <si>
    <t>Difference</t>
  </si>
  <si>
    <t>=</t>
  </si>
  <si>
    <t>x</t>
  </si>
  <si>
    <t>+</t>
  </si>
  <si>
    <t>K-3 R</t>
  </si>
  <si>
    <t>Non-AOI</t>
  </si>
  <si>
    <t>AOI FT*</t>
  </si>
  <si>
    <t>Other calculations</t>
  </si>
  <si>
    <t>AOI PT*</t>
  </si>
  <si>
    <t>*AOI counts shown reflect applicable full-time or part-time funding ratio.</t>
  </si>
  <si>
    <t>Table to calculate DAA per student count</t>
  </si>
  <si>
    <t>e.</t>
  </si>
  <si>
    <t>f.</t>
  </si>
  <si>
    <t>g.</t>
  </si>
  <si>
    <t>h.</t>
  </si>
  <si>
    <t>i.</t>
  </si>
  <si>
    <t>Calculation of Maintenance and Operation (M&amp;O) Fund budget balance carryforward (A.R.S. §15-943.01)</t>
  </si>
  <si>
    <t>Adjusted GBL</t>
  </si>
  <si>
    <t>Adjustments to the GBL (from line 2)</t>
  </si>
  <si>
    <t>Adjusted budgeted expenditures</t>
  </si>
  <si>
    <t>Lesser of the adjusted GBL (line 3) or the adjusted budgeted expenditures (line 6)</t>
  </si>
  <si>
    <t>Actual</t>
  </si>
  <si>
    <t>Unexpended Budget</t>
  </si>
  <si>
    <t>Special program override</t>
  </si>
  <si>
    <t>Desegregation</t>
  </si>
  <si>
    <t>Performance pay</t>
  </si>
  <si>
    <t>Total budget balance deductions (lines 10.a through 10.f)</t>
  </si>
  <si>
    <t>Accommodation district cash balance carryforward</t>
  </si>
  <si>
    <t xml:space="preserve">Remaining M&amp;O cash balance </t>
  </si>
  <si>
    <r>
      <t xml:space="preserve">The amount on line 14.c </t>
    </r>
    <r>
      <rPr>
        <b/>
        <sz val="9"/>
        <rFont val="Times New Roman"/>
        <family val="1"/>
      </rPr>
      <t>or</t>
    </r>
  </si>
  <si>
    <t>Result (line 15.b plus line 15.c)</t>
  </si>
  <si>
    <t>The lesser of line 15.a or 15.d</t>
  </si>
  <si>
    <t>Calculation of the amount available to be spent in the Impact Aid Fund (A.R.S. §15-905.R)</t>
  </si>
  <si>
    <t>Calculation of small school adjustment phase down limit</t>
  </si>
  <si>
    <t>Applies to any district that operated under the provisions of the small school adjustment (A.R.S. §15-949.A), and exceeded the allowable student counts for the first time before FY 2000.   Districts that operated under the provisions of a small school adjustment and exceeded the allowable student counts for the first time after FY 1999, should refer to the next section to calculate their maximum override.</t>
  </si>
  <si>
    <t xml:space="preserve">the district may continue to adopt a budget using a small school adjustment on page 7, line 4 of up to $50,000 without an election.  </t>
  </si>
  <si>
    <t>A district whose student count K-8 has exceeded 125 but is less than 154 may determine the small school adjustment phase down as follows:</t>
  </si>
  <si>
    <t>SMALL</t>
  </si>
  <si>
    <t>Phase down base</t>
  </si>
  <si>
    <t>TABLE I: Grades K-8</t>
  </si>
  <si>
    <t>ISOLATED</t>
  </si>
  <si>
    <t>Student count constant</t>
  </si>
  <si>
    <t>Small school student count limit</t>
  </si>
  <si>
    <t xml:space="preserve">Student count above the small school limit </t>
  </si>
  <si>
    <t>Weight adjustment factor</t>
  </si>
  <si>
    <t xml:space="preserve">Weighted student count above small school limit </t>
  </si>
  <si>
    <t>Support level weight increase</t>
  </si>
  <si>
    <t xml:space="preserve">Support level weight  </t>
  </si>
  <si>
    <t xml:space="preserve">Phase down reduction factor </t>
  </si>
  <si>
    <t>Grades K-8 small school adjustment phase down limit</t>
  </si>
  <si>
    <t xml:space="preserve">A unified or union high school district whose student count in grades 9-12 has exceeded 100 but is less than 176 may determine the small school adjustment phase down as follows: </t>
  </si>
  <si>
    <t>TABLE II: Grades 9-12</t>
  </si>
  <si>
    <t>Adjusted support level weight (See Table II at right for calculation)</t>
  </si>
  <si>
    <t xml:space="preserve">Grades 9-12 small school adjustment phase down limit </t>
  </si>
  <si>
    <t xml:space="preserve">For unified districts that qualified for a phase down limit for K-8 or 9-12 but not both, enter 10% of the RCL attributable to the nonqualifying K-8 or 9-12 weighted student count as provided in A.R.S. §15-971(B)(2)(a). </t>
  </si>
  <si>
    <t xml:space="preserve">Allowable small school adjustment, subject to an election </t>
  </si>
  <si>
    <t xml:space="preserve">10% of the District's total RCL </t>
  </si>
  <si>
    <t>Maximum override, subject to an election (Greater of line 4 or line 5)</t>
  </si>
  <si>
    <t>Calculation of maximum override for a district no longer eligible for a small school adjustment</t>
  </si>
  <si>
    <t xml:space="preserve">Applies to any district that operated under the provisions of a small school adjustment (A.R.S. §15-949.A) and exceeded the allowable student counts for the first time after FY 1999.  Districts that operated under the provisions of the small school adjustment and exceeded the allowable student counts for the first time before FY 2000, should refer to the section above.   </t>
  </si>
  <si>
    <t>A district whose K-8 student count has exceeded 125, but is less than 181 may determine the maximum small school adjustment override as follows:</t>
  </si>
  <si>
    <t>Phase-down factor</t>
  </si>
  <si>
    <t xml:space="preserve">Result </t>
  </si>
  <si>
    <t>Maximum percent increase to apply to RCL (.35 minus line 1.e)</t>
  </si>
  <si>
    <t>K-8 Revenue Control Limit</t>
  </si>
  <si>
    <t>A district whose 9-12 student count has exceeded 100, but is less than 185 may determine the maximum small school adjustment override as follows:</t>
  </si>
  <si>
    <t>9-12 Revenue Control Limit</t>
  </si>
  <si>
    <t>PSD-8 RCL from BSA55</t>
  </si>
  <si>
    <t>PSD weighted ADM percentage</t>
  </si>
  <si>
    <t>RCL from BSA55</t>
  </si>
  <si>
    <t>PSD RCL</t>
  </si>
  <si>
    <t>K-8 non-qualifying RCL</t>
  </si>
  <si>
    <t>10% of K-8 non-qualifying RCL (to Data Entry tab, line 19)</t>
  </si>
  <si>
    <t>Calculation of adjustment for tuition loss and student revenue loss phase-down (A.R.S. §§15-954 and 15-902.01)</t>
  </si>
  <si>
    <t>NOTE 1: This section is completed only if the district has indicated that it receives less tuition from a district which is inside or outside of this state because the district of residence began to offer instruction in one or more high school grade levels not previously offered.</t>
  </si>
  <si>
    <t>Factor of 5%</t>
  </si>
  <si>
    <t xml:space="preserve">ADM loss required to qualify </t>
  </si>
  <si>
    <t>Number of tuitioned students lost in the year after the base year due to district of residence offering instruction in
grades 9-12 not offered previously</t>
  </si>
  <si>
    <t>NOTE 2: If line 3 is greater than line 4, do not complete the rest of this section.  District does not qualify for an increase in the base support level (BSL).</t>
  </si>
  <si>
    <t>Tuition received in base year</t>
  </si>
  <si>
    <t>Tuition received in fiscal year after base year</t>
  </si>
  <si>
    <t>Tuition loss  (If result is less than zero, zero is entered)</t>
  </si>
  <si>
    <t>BSL adjustment for the first year after the base year</t>
  </si>
  <si>
    <t>first year factor</t>
  </si>
  <si>
    <t>BSL adjustment for the second year after the base year</t>
  </si>
  <si>
    <t>second year factor</t>
  </si>
  <si>
    <t>BSL adjustment for the third year after the base year</t>
  </si>
  <si>
    <t>third year factor</t>
  </si>
  <si>
    <t xml:space="preserve">Increase in BSL for tuition loss adjustment (line 8 + line 9 + line 10) </t>
  </si>
  <si>
    <t xml:space="preserve">NOTE 3: In addition to any adjustment for tuition loss received pursuant to A.R.S. §15-954, a district which loses students from its student count resulting from the formation of a joint unified school district (pursuant to A.R.S. §15-450) and does not receive tuition for those students for the budget year, may increase its BSL (A.R.S. §15-902.01).  </t>
  </si>
  <si>
    <t>A district which loses at least 500 students may increase the BSL:</t>
  </si>
  <si>
    <t>By $650,000 for the first year of the loss.</t>
  </si>
  <si>
    <t>By $600,000 for the second year following the loss.</t>
  </si>
  <si>
    <t>By $500,000 for the third year following the loss.</t>
  </si>
  <si>
    <t>By $300,000 for the fourth year following the loss.</t>
  </si>
  <si>
    <t>By $100,000 for the fifth year following the loss.</t>
  </si>
  <si>
    <t>A union high school district may increase the BSL:</t>
  </si>
  <si>
    <t>By $100,000 if it loses at least 50 students in the first year.</t>
  </si>
  <si>
    <t>By $200,000 if it loses an additional 50 students in the second year.</t>
  </si>
  <si>
    <t>By $325,000 if it loses an additional 50 students in the third year.</t>
  </si>
  <si>
    <t>By $200,000 in the fourth year if it was eligible for the third year loss.</t>
  </si>
  <si>
    <t>By $100,000 in the fifth year if it was eligible for the fourth year loss.</t>
  </si>
  <si>
    <t>Additional State Aid to Education  (ASAE) information for Department of Revenue (A.R.S. §15-992)</t>
  </si>
  <si>
    <t>Dropout Prevention Program (from page 1, line 27)</t>
  </si>
  <si>
    <t xml:space="preserve">Adjustment for tuition loss </t>
  </si>
  <si>
    <t>Liabilities in excess of school budget (from TNT Work Sheet, line 13)</t>
  </si>
  <si>
    <t>Vocational M&amp;O expenses (from page 1, line 28)</t>
  </si>
  <si>
    <t>Adjacent Ways (from TNT work sheet, line 12)</t>
  </si>
  <si>
    <t>Phase down small school budget limit exemption (based on Calculation of small school adjustment phase down limit
section, only if $50,000 option is used without an election)</t>
  </si>
  <si>
    <t>Basic Calculations For Equalization Essistance</t>
  </si>
  <si>
    <t>Is Small Isolated School District:</t>
  </si>
  <si>
    <t>District Page:</t>
  </si>
  <si>
    <t>1 of 5</t>
  </si>
  <si>
    <t xml:space="preserve">Grade Levels    </t>
  </si>
  <si>
    <t>Non-AOI
ADM</t>
  </si>
  <si>
    <t>AOI-FT 
ADM</t>
  </si>
  <si>
    <t>AOI-PT 
ADM</t>
  </si>
  <si>
    <t>Non-AOI 
Weighted ADM</t>
  </si>
  <si>
    <t>AOI-FT 
Weighted ADM</t>
  </si>
  <si>
    <t>AOI-PT
 Weighted ADM</t>
  </si>
  <si>
    <t>K-8,UE</t>
  </si>
  <si>
    <t>Regular Education Unweighted ADM</t>
  </si>
  <si>
    <t>Total of Unweighted ADM</t>
  </si>
  <si>
    <t>Regular Education Weighted ADM</t>
  </si>
  <si>
    <t>Total of Weighted ADM</t>
  </si>
  <si>
    <t>Add Ons</t>
  </si>
  <si>
    <t>K-3 (Reading)</t>
  </si>
  <si>
    <t>MD-R, A-R, SID-R</t>
  </si>
  <si>
    <t>MD-SC, A-SC, SID-SC</t>
  </si>
  <si>
    <t>DD, ED, MIID, SLD, SLI, OHI</t>
  </si>
  <si>
    <t>Group B - Add On Unweighted ADM</t>
  </si>
  <si>
    <t>Total Unweighted Group B Add On</t>
  </si>
  <si>
    <t>Group B - Add On Weighted ADM</t>
  </si>
  <si>
    <t>Total Weighted Group B Add On</t>
  </si>
  <si>
    <t>2 of 5</t>
  </si>
  <si>
    <t>Calculation For Base Support Level</t>
  </si>
  <si>
    <t>Non-AOI 
ADM</t>
  </si>
  <si>
    <t>Total ADM</t>
  </si>
  <si>
    <t>AOI Funding Factor</t>
  </si>
  <si>
    <t>Weighted ADM</t>
  </si>
  <si>
    <t>Total Weighted ADM</t>
  </si>
  <si>
    <t>Total Weighted ADM x Base Level Amount</t>
  </si>
  <si>
    <t>(1.0000 or Calculated Teachers Experience Index)</t>
  </si>
  <si>
    <t>Pre-Adjusted Base Support Level</t>
  </si>
  <si>
    <t>Base Support Level Adjustments</t>
  </si>
  <si>
    <t>Audit Service Expense</t>
  </si>
  <si>
    <t>Increase for Tuition Loss Adjustment</t>
  </si>
  <si>
    <t>Increase for Student Revenue Loss Phase-Down</t>
  </si>
  <si>
    <t>Adjustment for Remote Instructional Time calculated by ADE</t>
  </si>
  <si>
    <t>CTED 9th Grade Funding Adjustment</t>
  </si>
  <si>
    <t>CTED Continuation 13th Grade Funding Adjustment</t>
  </si>
  <si>
    <t>Total Base Support Level Adjustments</t>
  </si>
  <si>
    <t>Adjusted Base Support Level</t>
  </si>
  <si>
    <t>3 of 5</t>
  </si>
  <si>
    <t>Calculation Transportation Support Level (TSL)</t>
  </si>
  <si>
    <t>Calculation For District Support Level (DSL)</t>
  </si>
  <si>
    <t>(Miles, Eligible Students, Bus Passes and Bus Tokens)</t>
  </si>
  <si>
    <t>Approved Daily Route Miles</t>
  </si>
  <si>
    <t xml:space="preserve">          Total Approved Daily Route Miles</t>
  </si>
  <si>
    <t>State Support Level Per Route Mile</t>
  </si>
  <si>
    <t>Instruction Days</t>
  </si>
  <si>
    <t>Calculation For Revenue Control Limit (RCL)</t>
  </si>
  <si>
    <t>To and From School Support Level</t>
  </si>
  <si>
    <t xml:space="preserve">          Activity Trip Support Level</t>
  </si>
  <si>
    <t>Handicapped Extended School Year Support Level</t>
  </si>
  <si>
    <t>Annual Expenditures For:</t>
  </si>
  <si>
    <t>Bus Passes</t>
  </si>
  <si>
    <t>Bus Tokens</t>
  </si>
  <si>
    <t>Calculation For Transportation Revenue Control Limit (TRCL)</t>
  </si>
  <si>
    <t>Change:</t>
  </si>
  <si>
    <t>Difference:             $</t>
  </si>
  <si>
    <t>4 of 5</t>
  </si>
  <si>
    <t>District Additional Assistance (DAA) Calculations</t>
  </si>
  <si>
    <t>Type 03 Transported 9-12</t>
  </si>
  <si>
    <t>DAA Per ADM</t>
  </si>
  <si>
    <t>Preliminary DAA</t>
  </si>
  <si>
    <t>(*For Type 03 High School Only, Per Student Count Factor at 50%)</t>
  </si>
  <si>
    <t>DAA Growth Factor</t>
  </si>
  <si>
    <t>/</t>
  </si>
  <si>
    <t>(1.0000 or Calculated DAA Growth Factor If greater than 1.05, use 1 plus 50% of growth.)</t>
  </si>
  <si>
    <t>District DAA</t>
  </si>
  <si>
    <t>DAA For High School Textbooks</t>
  </si>
  <si>
    <t>Support Level Amount For Textbooks</t>
  </si>
  <si>
    <t>PSD-8</t>
  </si>
  <si>
    <t>Pre-Adjusted DAA Base Allocation</t>
  </si>
  <si>
    <t>Total DAA Adjustments</t>
  </si>
  <si>
    <t>5 of 5</t>
  </si>
  <si>
    <t>Equalization Base for Lesser of DSL/RCL</t>
  </si>
  <si>
    <t>Lesser of DSL or RCL</t>
  </si>
  <si>
    <t xml:space="preserve">Weighted ADM                                  </t>
  </si>
  <si>
    <t>Percentage</t>
  </si>
  <si>
    <t>Equalization Assessed Valuation</t>
  </si>
  <si>
    <t>9 -12</t>
  </si>
  <si>
    <t>Primary Assessed Valuation 1 (NAV1)</t>
  </si>
  <si>
    <t>Primary Assessed Valuation 2 (NAV2)</t>
  </si>
  <si>
    <t>SRP Assessed Valuation</t>
  </si>
  <si>
    <t>GPLET Assessed Valuation</t>
  </si>
  <si>
    <t>Equalization Assessed Valuation</t>
  </si>
  <si>
    <t>Qualifying Tax Rate</t>
  </si>
  <si>
    <t>Calculation of Equalization Assistance</t>
  </si>
  <si>
    <t>DSL/RCL Allocation</t>
  </si>
  <si>
    <t>Adjusted CY DAA Base Allocation</t>
  </si>
  <si>
    <t>Page</t>
  </si>
  <si>
    <t>Reference</t>
  </si>
  <si>
    <t>Instructions</t>
  </si>
  <si>
    <t>Data Entry page instructions</t>
  </si>
  <si>
    <t>A summary of significant changes to this document is included in column E. Filter the column to remove blank cells to see only the areas with significant changes.</t>
  </si>
  <si>
    <t>Significant changes to this document are identified in this column.</t>
  </si>
  <si>
    <t>Budget Revision</t>
  </si>
  <si>
    <t>Instructions for budget revision requirements have been incorporated into this document for each applicable line item. All lines that include revision instructions have a "Yes" in the Revision Instructions column to the right. To see only the revision instructions apply the filter so that only rows marked "Yes" will show. 
Prior to May 15 of the budget year, districts must make all of the revisions described in these instructions that would result in a decrease in budget limits and districts may make any of the described revisions that result in an increase in budget limits. Total expenditures in the Maintenance and Operation (M&amp;O), Unrestricted Capital Outlay (UCO), and Classroom Site Funds (CSF) must not exceed the adjusted General Budget Limit (GBL), Unrestricted Capital Budget Limit (UCBL), and Classroom Site Fund Budget Limit (CSFBL), respectively, as reported on pages 7, 8, and 3 of the latest revised budget. Therefore, if the net change to any of these budget limits is a decrease, the district must reduce budgeted expenditures in the related fund, to ensure that the budgeted amounts are within the prescribed limit. If the net change to any of these budget limits is an increase, the district may choose to revise budgeted expenditures in the related fund.</t>
  </si>
  <si>
    <t>Budget Revision Continued</t>
  </si>
  <si>
    <t>Cover</t>
  </si>
  <si>
    <t>District Tax Rates</t>
  </si>
  <si>
    <t>Average Teacher Salaries</t>
  </si>
  <si>
    <r>
      <t xml:space="preserve">In accordance with A.R.S. §15-903(E), a district's budget must include the prominent display of the average salary of all teachers employed by the district for the budget and prior years, and the increase in the average salary of all teachers employed by the district for the budget year reported in dollars and percentage. Districts must also prominently post this information on their website home pages separate from their budgets. The law does not provide a definition of a teacher. Districts should be consistent in the type of salary information included in this table from year to year. An optional comment box is available to provide details on the average teacher salary calculation used by the district.
</t>
    </r>
    <r>
      <rPr>
        <b/>
        <sz val="14"/>
        <rFont val="Times New Roman"/>
        <family val="1"/>
      </rPr>
      <t xml:space="preserve">Budget Revision
</t>
    </r>
    <r>
      <rPr>
        <sz val="14"/>
        <rFont val="Times New Roman"/>
        <family val="1"/>
      </rPr>
      <t>Districts should revise the average teacher salary information any time a revised budget is submitted to ADE.</t>
    </r>
  </si>
  <si>
    <t>Line 4</t>
  </si>
  <si>
    <t>SFPaymentTeam@azed.gov</t>
  </si>
  <si>
    <t>Line 9</t>
  </si>
  <si>
    <r>
      <rPr>
        <b/>
        <sz val="14"/>
        <rFont val="Times New Roman"/>
        <family val="1"/>
      </rPr>
      <t>Budget Revision</t>
    </r>
    <r>
      <rPr>
        <sz val="14"/>
        <rFont val="Times New Roman"/>
        <family val="1"/>
      </rPr>
      <t xml:space="preserve">
Districts participating in the National School Lunch Program that have not already budgeted for the state matching requirements, should include any amounts to be expended for their food service program in the M&amp;O Fund on this line before May 15. ADE’s Health &amp; Nutrition Services will verify that amounts budgeted were spent when the annual financial reports are submitted. Any questions related to the state matching requirements should be directed to ADE’s Health &amp; Nutrition Services at (602) 542-8700.</t>
    </r>
  </si>
  <si>
    <t>Line 27</t>
  </si>
  <si>
    <t>Line 28</t>
  </si>
  <si>
    <r>
      <t xml:space="preserve">A district that has entered into an intergovernmental agreement to establish a jointly owned and operated career and technical education and vocational education center, in accordance with A.R.S. §15-789, should budget for the center’s expenditures on this line. A.R.S. §15‑910.01 </t>
    </r>
    <r>
      <rPr>
        <b/>
        <sz val="14"/>
        <rFont val="Times New Roman"/>
        <family val="1"/>
      </rPr>
      <t xml:space="preserve">This provision does not apply to CTEDs established pursuant to A.R.S. §15-392. 
</t>
    </r>
    <r>
      <rPr>
        <sz val="14"/>
        <rFont val="Times New Roman"/>
        <family val="1"/>
      </rPr>
      <t xml:space="preserve">A.R.S. §15-910.01 requires the State Board of Education (SBE) approval prior to including an amount here. </t>
    </r>
    <r>
      <rPr>
        <b/>
        <sz val="14"/>
        <rFont val="Times New Roman"/>
        <family val="1"/>
      </rPr>
      <t>Currently, no districts have been authorized by the SBE.</t>
    </r>
  </si>
  <si>
    <t>Line 29</t>
  </si>
  <si>
    <r>
      <t>Districts should budget for K-3 Reading Program expenditures on this line.  The State Board of Education must give approval to a district before any portion of the monies generated by the K-3 reading support level weight may be distributed to the district. A.R.S. §15-211</t>
    </r>
    <r>
      <rPr>
        <strike/>
        <sz val="14"/>
        <rFont val="Times New Roman"/>
        <family val="1"/>
      </rPr>
      <t xml:space="preserve">
</t>
    </r>
    <r>
      <rPr>
        <sz val="14"/>
        <rFont val="Times New Roman"/>
        <family val="1"/>
      </rPr>
      <t>Contact ADE’s Move on When Reading program area with questions concerning the K-3 Reading plan requirement and approval status at the link below.</t>
    </r>
  </si>
  <si>
    <t>http://www.azed.gov/mowr/</t>
  </si>
  <si>
    <t>Spec. Ed. by Type</t>
  </si>
  <si>
    <t xml:space="preserve">All expenditures budgeted in the M&amp;O Fund for special education programs should be included regardless of the revenue source (e.g., state equalization assistance and property taxes). Districts should retain supporting documentation for the allocation of expenditures budgeted for individual special education programs. Supporting documentation should include a list of the programs, the number of teachers and students by program, and all computation work sheets. However, districts should budget total expenditures in Program 200—Special Education for disability classifications defined in A.R.S. §15-761 on line 1, Total All Disability Classifications.
</t>
  </si>
  <si>
    <t>Spec. Ed by Type - Lines 4 and 5</t>
  </si>
  <si>
    <t xml:space="preserve">Program code 260—ELL Incremental Costs and program code 265—ELL Compensatory Instruction are required to track expenditures related to English Language Learners (ELL). See Supplement instructions for more information on ELL. </t>
  </si>
  <si>
    <t>Audit Services</t>
  </si>
  <si>
    <r>
      <t xml:space="preserve">Enter the budgeted expenditures for nonfederal program and compliance audits (required object code 6350) to be paid from the M&amp;O Fund only, and the budgeted expenditures for federal single audits (optional object code 6330) from </t>
    </r>
    <r>
      <rPr>
        <u/>
        <sz val="14"/>
        <rFont val="Times New Roman"/>
        <family val="1"/>
      </rPr>
      <t>all</t>
    </r>
    <r>
      <rPr>
        <sz val="14"/>
        <rFont val="Times New Roman"/>
        <family val="1"/>
      </rPr>
      <t xml:space="preserve"> funds.</t>
    </r>
  </si>
  <si>
    <t>M&amp;O for Food Service</t>
  </si>
  <si>
    <t xml:space="preserve">The Classroom Site Fund (CSF) is a budget-controlled fund that must be used to supplement, rather than supplant, existing monies. Expenditures made from the Classroom Site Fund (010) should be made in accordance with the requirements of A.R.S. §15-977. Districts may establish any CSF subfunds 011-019 to track monies for specific allowable purposes or separately account for carryover balances and other one-time CSF monies.  One total budget for all Classroom Site monies must be reported here, in Fund 010. 
 </t>
  </si>
  <si>
    <t xml:space="preserve">Line 4 should include expenditures for teacher liability insurance premiums made from Fund 010. </t>
  </si>
  <si>
    <t>https://schoolfinancereports.azed.gov/</t>
  </si>
  <si>
    <t>Line 15</t>
  </si>
  <si>
    <t>Line 10</t>
  </si>
  <si>
    <t>Footnote 5</t>
  </si>
  <si>
    <r>
      <t>Other Funds</t>
    </r>
    <r>
      <rPr>
        <sz val="14"/>
        <rFont val="Franklin Gothic Medium"/>
        <family val="2"/>
      </rPr>
      <t xml:space="preserve">—
</t>
    </r>
    <r>
      <rPr>
        <sz val="14"/>
        <rFont val="Times New Roman"/>
        <family val="1"/>
      </rPr>
      <t xml:space="preserve">Required Capital Expenditure Detail  for Funds 610, 630, 695, &amp; 620
</t>
    </r>
  </si>
  <si>
    <t>In accordance with A.R.S. §15-904(B), detailed budgeted and actual expenditures for only the items listed in lines 2-11 must be reported from the UCO (610), Bond Building (630), New School Facilities (695), and Adjacent Ways (620) Funds. The amounts reported on lines 2-11 may not include all expenditures of these funds as shown on line 1. Total budgeted expenditures for each fund should be included on line 1 of the table. 
In addition, these detailed expenditures reported on lines 2-11 must be separately reported as new construction or renovation on lines 13-15. If the designation of new construction or renovation does not apply to a particular expenditure reported on lines 2-11, the amount should be reported as "Other."  Therefore, total budgeted expenditures for the detailed object codes listed for each fund as reported on line 12 must agree to the total amounts reported on line 16, by fund. Amounts on lines 12 and 16 may be less than the amounts on line 1 for each fund.</t>
  </si>
  <si>
    <t>Adjacent Ways Fund</t>
  </si>
  <si>
    <t>In accordance with A.R.S. §15-995, each adjacent ways project proposal must be filed with ADOA's Division of School Facilities and include the project cost estimate. If the entire project cost for the adjacent ways project is greater than $50,000, the expenditure cannot be made unless the Division of School Facilities validates both of the following:
-The project that is proposed to be funded by the assessment is in compliance with state laws relating to adjacent ways projects.
-The proposal selected by the district does not contain any additional work that is not listed in the adjacent ways proposal submitted by the district.</t>
  </si>
  <si>
    <t>Federal Projects, Line 18</t>
  </si>
  <si>
    <t>Districts that receive Impact Aid monies should deposit them in Fund 378—Impact Aid. Monies in the fund are federal monies not subject to legislative appropriation. All districts that receive Impact Aid revenue should complete the Districts Receiving Federal Impact Aid Revenues portion of the Other Information section on the Data Entry tab to calculate the amount available to be spent in the Impact Aid Fund.</t>
  </si>
  <si>
    <t>Federal Projects, Line 19</t>
  </si>
  <si>
    <t>In accordance with A.R.S. §15-249.06, monies received from the college credit by examination incentive program should be deposited in Fund 456—College Credit Exam Incentives. At least 50% of the incentive bonus monies received from this program must be distributed to the associated classroom teacher for each student who passes a qualifying exam and to other teachers of relevant subjects who instructed that student, including but not limited to teachers in the same department or subject matter that contributed to the student passing the examination, as identified by the governing board or the school principal. The remainder of any bonus monies received from this program must be allocated by the school principal on behalf of the students who receive a passing score and may be used for teacher professional development or student instructional support, reimbursement of exam fees, or instructional materials.</t>
  </si>
  <si>
    <t>Other Funds, Lines 2 and 3</t>
  </si>
  <si>
    <t xml:space="preserve">Funds 071 and 072 should be budgeted in detail on the Supplement. Fund totals will pull to these lines. See the instructions for the Supplement for additional information. 
</t>
  </si>
  <si>
    <t>Other Funds, Line 4</t>
  </si>
  <si>
    <t>In accordance with A.R.S. §15-1102, the proceeds from the sale or lease of school district property should be deposited in the School Plant Fund (500). Expenditures made from the School Plant Fund (500) should be made in accordance with the requirements of A.R.S. §15-1102. Districts may establish sub funds for School Plant in funds 501-504 to account for monies received that are restricted to different purposes by statute, but one total budget for all related monies must be reported here in Fund 500.</t>
  </si>
  <si>
    <t>Other Funds
Line 24</t>
  </si>
  <si>
    <t>In accordance with A.R.S. §15-249.15, monies received to provide incentive awards for high school graduates who obtain a certification, credential, or license that is accepted by a vocation or industry through a career technical education course or program should be deposited in Fund 597—Arizona Industry Credentials Incentive Fund. 
Expenditures from Fund 597 should be made for only the following purposes:
1. For instructional costs and professional development for a career technical education program teacher to become a certifying professional for an approved certificate, credential, or license.
2. To offset the students' cost of certification, credentialing, or licensure.
3. For developmental costs related to creating, expanding or improving an approved site of a certificate, credential, or license career technical program or course.
4. For instructional hardware, software, or supplies required for the certification, credentialing, or licensure.
5. For career exploration in any school grade and awareness activities for parents, students, and the community for the approved sectors.</t>
  </si>
  <si>
    <t>Other Funds
Line 29</t>
  </si>
  <si>
    <t>In accordance with A.R.S. §41-5721, before applying to ADOA's Division of School Facilities for funding for an emergency, the district's governing board must issue an emergency declaration or resolution to be eligible for monies from the Emergency Deficiencies Correction Fund. To qualify as an emergency, the situation must fit the criteria in A.R.S. §41-5721(F).</t>
  </si>
  <si>
    <t>Other Funds
Line 30</t>
  </si>
  <si>
    <t>In accordance with A.R.S. §41-5731, districts must submit a preventive maintenance plan to ADOA's Division of School Facilities to be eligible to receive monies from the Building Renewal Grant Fund.</t>
  </si>
  <si>
    <t>Other Funds, Line 34</t>
  </si>
  <si>
    <t>Internal Service Funds, 
Line 2</t>
  </si>
  <si>
    <t>Include all expenditures for Intergovernmental Agreements (IGAs) in this line. If the district uses funds other than 955 to separately account for multiple IGAs, all IGA fund expenditures should be totaled and reported on this line.</t>
  </si>
  <si>
    <r>
      <t xml:space="preserve">For budget adoption, districts may apportion amounts on this page between the M&amp;O and UCO Funds. After original adoption, and prior to May 15 of the budget year, amounts may be reapportioned based on the budgetary needs of the district, unless otherwise indicated on Budget, page 7, or in the following instructions.
Record in column A on this page all amounts budgeted for use in the M&amp;O Fund (to be included in the GBL). Record in column B all amounts budgeted for use in the UCO Fund (to be carried over to the calculations on Budget, page 8).
</t>
    </r>
    <r>
      <rPr>
        <b/>
        <sz val="14"/>
        <rFont val="Times New Roman"/>
        <family val="1"/>
      </rPr>
      <t xml:space="preserve">Budget Revision </t>
    </r>
    <r>
      <rPr>
        <sz val="14"/>
        <rFont val="Times New Roman"/>
        <family val="1"/>
      </rPr>
      <t xml:space="preserve">
When actual amounts are required, use the actual amount to date plus the estimated amount for the remainder of the fiscal year. After the May 15 budget revision, amounts </t>
    </r>
    <r>
      <rPr>
        <b/>
        <sz val="14"/>
        <rFont val="Times New Roman"/>
        <family val="1"/>
      </rPr>
      <t>cannot</t>
    </r>
    <r>
      <rPr>
        <sz val="14"/>
        <rFont val="Times New Roman"/>
        <family val="1"/>
      </rPr>
      <t xml:space="preserve"> be reallocated between M&amp;O and UCO. </t>
    </r>
  </si>
  <si>
    <t>Line 1</t>
  </si>
  <si>
    <t>Lines 2(a)-(c)</t>
  </si>
  <si>
    <t>Line 2(b)</t>
  </si>
  <si>
    <t>After completing the Data Entry tab, the DAA adjustment amount from BSA55 tab, page 4 will pull to this line, if any.</t>
  </si>
  <si>
    <t>Line 3</t>
  </si>
  <si>
    <t>https://www.azed.gov/sites/default/files/2022/06/MO%20Override%20Estimator%20FY23.xlsm</t>
  </si>
  <si>
    <t>Line 3(a)</t>
  </si>
  <si>
    <t>Line 3(a) Continued</t>
  </si>
  <si>
    <t>The maximum amount a district may request for an M&amp;O budget override is 15% of the district’s RCL. If the district also requests a Special Program override pursuant to A.R.S. §15-482, the maximum amount a district may request for an M&amp;O override is 10% of the RCL. A.R.S. §15-481(G)</t>
  </si>
  <si>
    <t>Line 3(b)</t>
  </si>
  <si>
    <t>Line 3(c)</t>
  </si>
  <si>
    <t xml:space="preserve">Lines 3(a)-(c) </t>
  </si>
  <si>
    <r>
      <rPr>
        <b/>
        <sz val="14"/>
        <rFont val="Times New Roman"/>
        <family val="1"/>
      </rPr>
      <t>Budget Revision</t>
    </r>
    <r>
      <rPr>
        <sz val="14"/>
        <rFont val="Times New Roman"/>
        <family val="1"/>
      </rPr>
      <t xml:space="preserve">
If the RCL originally used to calculate an override was reduced after budget adoption, the district must recalculate the maximum M&amp;O, UCO, and Special Program override amounts in accordance with the instructions above. Arizona Attorney General Opinion I90‑020 prohibits districts from recalculating overrides based on an increase in the RCL after secondary taxes have been levied for the applicable year. The amounts reported on lines 3(a) through (c) may not exceed the lesser of the original or recalculated maximum override amounts.</t>
    </r>
  </si>
  <si>
    <t>SFBudgetTeam@azed.gov</t>
  </si>
  <si>
    <t>Line 5</t>
  </si>
  <si>
    <r>
      <t xml:space="preserve">Districts charging tuition for full-day kindergarten and summer school should </t>
    </r>
    <r>
      <rPr>
        <u/>
        <sz val="14"/>
        <rFont val="Times New Roman"/>
        <family val="1"/>
      </rPr>
      <t>not</t>
    </r>
    <r>
      <rPr>
        <sz val="14"/>
        <rFont val="Times New Roman"/>
        <family val="1"/>
      </rPr>
      <t xml:space="preserve"> include an increase to the GBL. These tuition revenues should be recorded in the Community School Fund (520).
</t>
    </r>
    <r>
      <rPr>
        <b/>
        <sz val="14"/>
        <rFont val="Times New Roman"/>
        <family val="1"/>
      </rPr>
      <t>Budget Revision</t>
    </r>
    <r>
      <rPr>
        <sz val="14"/>
        <rFont val="Times New Roman"/>
        <family val="1"/>
      </rPr>
      <t xml:space="preserve">
Districts should compare actual tuition revenues received or expected to be received by June 30 to the amounts reported on lines 5(a) through (d) to determine whether the amounts must be decreased or may be increased.</t>
    </r>
  </si>
  <si>
    <t>Line 5(d)</t>
  </si>
  <si>
    <t>More information and instructions for calculating this amount can be found at the link below:</t>
  </si>
  <si>
    <t>http://www.azed.gov/finance/certificates-of-educational-convenience/</t>
  </si>
  <si>
    <t>Line 6</t>
  </si>
  <si>
    <t xml:space="preserve">Line 7 </t>
  </si>
  <si>
    <t>Line 8(a)</t>
  </si>
  <si>
    <r>
      <t>The total amount budgeted for desegregation expenditures in the M&amp;O, UCO, and Impact Aid Funds cannot exceed the amount budgeted in FY 2009. Districts should</t>
    </r>
    <r>
      <rPr>
        <u/>
        <sz val="14"/>
        <rFont val="Times New Roman"/>
        <family val="1"/>
      </rPr>
      <t xml:space="preserve"> not</t>
    </r>
    <r>
      <rPr>
        <sz val="14"/>
        <rFont val="Times New Roman"/>
        <family val="1"/>
      </rPr>
      <t xml:space="preserve"> include amounts on these lines for desegregation expenditures that are to be made from the Impact Aid Fund. </t>
    </r>
  </si>
  <si>
    <t>Line 8(b)</t>
  </si>
  <si>
    <t>Line 8(c)</t>
  </si>
  <si>
    <t>Line 8(d)</t>
  </si>
  <si>
    <t>Line 8(e)</t>
  </si>
  <si>
    <r>
      <t xml:space="preserve">For the first 3 years that a joint career and technical education and vocational education center is operating and serving students, all or a portion of the center’s expenditures may be budgeted outside the RCL. A.R.S. §15-910.01 requires the State Board of Education (SBE) approval prior to including an amount here. The district </t>
    </r>
    <r>
      <rPr>
        <u/>
        <sz val="14"/>
        <rFont val="Times New Roman"/>
        <family val="1"/>
      </rPr>
      <t>must</t>
    </r>
    <r>
      <rPr>
        <sz val="14"/>
        <rFont val="Times New Roman"/>
        <family val="1"/>
      </rPr>
      <t xml:space="preserve"> notify the SBE before adopting a Budget for the first year of operation, and notify ADE School Finance if this line will be used in calculating the GBL.  Currently, no districts have been authorized by the SBE. </t>
    </r>
    <r>
      <rPr>
        <b/>
        <sz val="14"/>
        <rFont val="Times New Roman"/>
        <family val="1"/>
      </rPr>
      <t>This provision does not apply to career technical education districts established pursuant to A.R.S. §15‑392.</t>
    </r>
  </si>
  <si>
    <t>Line 8(f)</t>
  </si>
  <si>
    <t>Line 8(g)</t>
  </si>
  <si>
    <t xml:space="preserve">SFPaymentTeam@azed.gov </t>
  </si>
  <si>
    <t>Line 8(h)</t>
  </si>
  <si>
    <r>
      <t xml:space="preserve">Record the amount of reimbursements for unorganized territory mileage received from performance of a transportation services contract.
</t>
    </r>
    <r>
      <rPr>
        <b/>
        <sz val="14"/>
        <rFont val="Times New Roman"/>
        <family val="1"/>
      </rPr>
      <t>Budget Revision</t>
    </r>
    <r>
      <rPr>
        <sz val="14"/>
        <rFont val="Times New Roman"/>
        <family val="1"/>
      </rPr>
      <t xml:space="preserve">
Districts should compare actual reimbursements for transportation services received or expected to be received by June 30 to the amount reported on this line. The amount on this line cannot exceed the actual amount received for providing these transportation services.</t>
    </r>
  </si>
  <si>
    <t>Line 2</t>
  </si>
  <si>
    <t xml:space="preserve">SFBudgetTeam@azed.gov </t>
  </si>
  <si>
    <t>Lines 3</t>
  </si>
  <si>
    <t>Line 8</t>
  </si>
  <si>
    <r>
      <t>The district should forward a copy of the award letter from ADOA's Division of School Facilities stating the specific amount being deposited in Fund 610, to ADE's School Finance budget team at the email address below.</t>
    </r>
    <r>
      <rPr>
        <strike/>
        <sz val="14"/>
        <rFont val="Times New Roman"/>
        <family val="1"/>
      </rPr>
      <t xml:space="preserve">
</t>
    </r>
    <r>
      <rPr>
        <sz val="14"/>
        <rFont val="Times New Roman"/>
        <family val="1"/>
      </rPr>
      <t xml:space="preserve">
</t>
    </r>
    <r>
      <rPr>
        <b/>
        <sz val="14"/>
        <rFont val="Times New Roman"/>
        <family val="1"/>
      </rPr>
      <t>Budget Revision</t>
    </r>
    <r>
      <rPr>
        <sz val="14"/>
        <rFont val="Times New Roman"/>
        <family val="1"/>
      </rPr>
      <t xml:space="preserve">
Enter the amount of money, if any, received or expected to be received, by fiscal year end.</t>
    </r>
  </si>
  <si>
    <t>Line 10 continued</t>
  </si>
  <si>
    <t>ELL General</t>
  </si>
  <si>
    <t>Suppl</t>
  </si>
  <si>
    <t>ELL General Continued</t>
  </si>
  <si>
    <t xml:space="preserve">In all funds where ELL costs are incurred, districts should use program code 260—ELL Incremental Costs to record incremental costs necessary to implement an approved ELL model, program code 265—ELL Compensatory Instruction to record the costs of providing compensatory instruction to ELL students and students reclassified as English proficient in the last 2 years, and program code 435—Pupil Transportation—ELL Compensatory Instruction for transportation costs approved as part of compensatory instruction. However, when desegregation monies in the M&amp;O Fund are used to pay for incremental or compensatory instruction costs, districts should use program codes 514—ELL Incremental Costs and 515—ELL Compensatory Instruction. </t>
  </si>
  <si>
    <t>Districts may have ELL costs, in funds other than ELL Fund 071 and Compensatory Instruction Fund 072, that are beyond the incremental costs necessary to implement an approved ELL model and that are not considered compensatory instruction by statute. Districts should code these costs to program code 100—Regular Education. Districts may choose to separately track these costs in their accounting records using a more detailed program code under 100, such as program code 160.</t>
  </si>
  <si>
    <t>Summary</t>
  </si>
  <si>
    <t>Page 1</t>
  </si>
  <si>
    <t>Truth in Taxation Work Sheet</t>
  </si>
  <si>
    <t>In accordance with A.R.S. §15-905.01, a district must hold a truth in taxation hearing on or before the adoption of the expenditure budget if the district budgets an amount that is higher than the truth in taxation base limit, levies any amount for adjacent ways pursuant to A.R.S. §15‑995, or levies any amount for liabilities in excess of the budget pursuant to A.R.S. §15‑907.</t>
  </si>
  <si>
    <t>General Continued</t>
  </si>
  <si>
    <t>The truth in taxation work sheet and notice do not need to be completed for budget revisions. The impact of any revisions should be included in the following year’s truth in taxation calculation.</t>
  </si>
  <si>
    <t xml:space="preserve">Use this line to reduce the TNT Base limit (line 1) for programs that the district is no longer eligible to budget for. Districts that are no longer eligible to budget for any of the programs on lines 4 through 7, or if the expenditures for those programs will be made only in the Impact Aid Fund, should have a TNT base limit of zero after deducting amounts for discontinued programs on this line.
</t>
  </si>
  <si>
    <t>Line 8.a</t>
  </si>
  <si>
    <t>Line 12</t>
  </si>
  <si>
    <t>Fund balances</t>
  </si>
  <si>
    <t>Section A, line 1</t>
  </si>
  <si>
    <t>Section A, line 2(a)</t>
  </si>
  <si>
    <t>Section A, line 2(b)</t>
  </si>
  <si>
    <t>Section A, line 3 (a)</t>
  </si>
  <si>
    <t>Section A, line 3 (b)</t>
  </si>
  <si>
    <t>Section A, line 3 (c)</t>
  </si>
  <si>
    <t>Section A, line 3 (d)</t>
  </si>
  <si>
    <t>Section A, line 3 (e)</t>
  </si>
  <si>
    <t>Section A, line 4 (a)</t>
  </si>
  <si>
    <t>Section A, line 4 (b)</t>
  </si>
  <si>
    <r>
      <rPr>
        <u/>
        <sz val="14"/>
        <color theme="1"/>
        <rFont val="Times New Roman"/>
        <family val="1"/>
      </rPr>
      <t>For budget-controlled funds only</t>
    </r>
    <r>
      <rPr>
        <sz val="14"/>
        <color theme="1"/>
        <rFont val="Times New Roman"/>
        <family val="1"/>
      </rPr>
      <t>, report any positive cash balances the District has accumulated in excess of the applicable funds' related budget capacity. Districts should compare fund balances in the maintenance &amp; operation (M&amp;O), unrestricted capital outlay (UCO), Adjacent Ways, Classroom Site (CSF), and State and federal grant funds to unexpended budget limits to determine the excess cash amounts that should be entered on this line. Districts may need to consider whether fund balance is misallocated between the M&amp;O and UCO Funds if one fund reports excess fund balance, while the other reports a fund balance deficit.</t>
    </r>
  </si>
  <si>
    <t>Section A, line 4 (c)</t>
  </si>
  <si>
    <t>Section A, line 4 (d)</t>
  </si>
  <si>
    <t>Data Entry</t>
  </si>
  <si>
    <r>
      <t xml:space="preserve">Districts should enter their CTD number and select the budget version on the Cover page </t>
    </r>
    <r>
      <rPr>
        <b/>
        <sz val="14"/>
        <rFont val="Times New Roman"/>
        <family val="1"/>
      </rPr>
      <t>prior</t>
    </r>
    <r>
      <rPr>
        <sz val="14"/>
        <rFont val="Times New Roman"/>
        <family val="1"/>
      </rPr>
      <t xml:space="preserve"> to completing the Data Entry page. Formulas included on the Calculations and BSA55 pages will pull the data from the Data Entry and the Cover pages to calculate the amounts required for pages 7 and 8.</t>
    </r>
  </si>
  <si>
    <t>Districts should complete the applicable portions of the Data Entry tab before completing pages 1 through 8. To ensure that the district’s data can be properly processed by ADE, formulas should not be changed without specific instructions from either the Arizona Auditor General's Accountability Services Division or ADE, School Finance.</t>
  </si>
  <si>
    <t>Unweighted Student Count
Line 1</t>
  </si>
  <si>
    <t>Unweighted Student Count
Line 2</t>
  </si>
  <si>
    <t>Unweighted Student Count
Lines 3, 4, and 5</t>
  </si>
  <si>
    <t>Student Count
by Category
Lines 7 through 20</t>
  </si>
  <si>
    <t>Student Count
by Category
Line 7</t>
  </si>
  <si>
    <r>
      <t xml:space="preserve">In accordance with A.R.S. §15-943, use these lines for the K-3 Reading support level weight.
A.R.S. §15-211 requires districts to submit a plan for improving the reading proficiency of its pupils in Kindergarten programs and grades 1-3 to ADE by October 1 each year. This plan is required to include a budget for the use of the monies generated by the K-3 and K-3 Reading support level weights. Additionally, districts are required to use the monies generated by the K-3 Reading support level weight ONLY on instructional purposes intended to improve reading proficiency for pupils in Kindergarten programs and grades 1-3 with particular emphasis on pupils in Kindergarten programs and grades 1 and 2.
K-3 Reading weight will only be included in the district's BSA 55-1 and BUDG25 </t>
    </r>
    <r>
      <rPr>
        <b/>
        <sz val="14"/>
        <rFont val="Times New Roman"/>
        <family val="1"/>
      </rPr>
      <t>after</t>
    </r>
    <r>
      <rPr>
        <sz val="14"/>
        <rFont val="Times New Roman"/>
        <family val="1"/>
      </rPr>
      <t xml:space="preserve"> the district's K-3 Reading Program Plan is approved by the State Board of Education.
To facilitate budgeting for the monies generated by the K-3 and K-3 Reading support level weights, the portion of the district's base support level (BSL) that is generated by the K-3 and K-3 Reading support level weights is calculated and shown on line 1 in the Other Information section of the Calculations tab.
Questions concerning the K-3 Reading plan requirement and approval status should be directed to ADE's Move on When Reading section at the link below:</t>
    </r>
  </si>
  <si>
    <t>ELL (English Learners)</t>
  </si>
  <si>
    <t>Student Count
by Category
Line 10</t>
  </si>
  <si>
    <t>HI (Hearing Impairment)</t>
  </si>
  <si>
    <t>Student Count
by Category
Line 11</t>
  </si>
  <si>
    <t>MD - R (Multiple Disabilities - Resource), A - R (Autism - Resource), and SID - R (Severe Intellectual Disability - Resource)</t>
  </si>
  <si>
    <t>Student Count
by Category
Line 12</t>
  </si>
  <si>
    <t>MD - SC (Multiple Disabilities - Self-contained), A - SC (Autism - Self-contained), and SID - SC (Severe Intellectual Disability - Self-contained)</t>
  </si>
  <si>
    <t>Student Count
by Category
Line 13</t>
  </si>
  <si>
    <t>MD - SSI (Multiple Disabilities Severe Sensory Impairment)</t>
  </si>
  <si>
    <t>Student Count
by Category
Line 14</t>
  </si>
  <si>
    <t>OI -R (Orthopedic Impairment - Resource)</t>
  </si>
  <si>
    <t>Student Count
by Category
Line 15</t>
  </si>
  <si>
    <t>OI - SC (Orthopedic Impairment - Self Contained)</t>
  </si>
  <si>
    <t>Student Count
by Category
Line 16</t>
  </si>
  <si>
    <t>P - SD (Preschool - Severe Delay)</t>
  </si>
  <si>
    <t>Student Count
by Category
Line 17</t>
  </si>
  <si>
    <t>DD (Developmental Delay for children in kindergarten through age 10), ED (Emotional Disability), MIID (Mild Intellectual Disability), SLD (Specific Learning  Disability), SLI (Speech/Language Impairment for K-12), and OHI (Other Health Impairments)</t>
  </si>
  <si>
    <t>Student Count
by Category
Line 18</t>
  </si>
  <si>
    <t>ED - P (Emotional Delay - Private)</t>
  </si>
  <si>
    <t>Student Count
by Category
Line 19</t>
  </si>
  <si>
    <t>MOID (Moderate Intellectual Disability)</t>
  </si>
  <si>
    <t>Student Count
by Category
Line 20</t>
  </si>
  <si>
    <t>VI (Visual Impairment)</t>
  </si>
  <si>
    <t>Student Count
by Category
Line 21</t>
  </si>
  <si>
    <t xml:space="preserve">Adjustments to BSL/BRCL
Line 1 </t>
  </si>
  <si>
    <t>Districts with grades designated as small isolated districts by the Arizona Department of Education (ADE) in accordance with A.R.S. §15-901 should mark the appropriate check box(es) on this line to activate the increase for small isolated districts in the calculation of the Group A support level weight. Districts that have all grade levels designated as small isolated by the ADE should mark both check boxes.</t>
  </si>
  <si>
    <t>Adjustments to BSL/BRCL
Line 2</t>
  </si>
  <si>
    <t>SFAnalystTeam@azed.gov</t>
  </si>
  <si>
    <t>Adjustments to BSL/BRCL 
Line 3</t>
  </si>
  <si>
    <t>Adjustments to BSL/BRCL 
Line 4</t>
  </si>
  <si>
    <t>Adjustments to BSL/BRCL 
Line 5</t>
  </si>
  <si>
    <t>Adjustments to BSL/BRCL 
Line 6</t>
  </si>
  <si>
    <t>Transportation
Lines 1 &amp; 2</t>
  </si>
  <si>
    <t xml:space="preserve">Obtain the amounts from the ADE report “Transportation Route Report,” TRAN55-1, available on ADE's website.
A common school district not within a high school district must use the approved daily route miles and eligible students transported, excluding approved daily route miles and eligible students for high school students attending school in another district and being transported by another district.
</t>
  </si>
  <si>
    <t>Transportation
Lines 3 &amp; 4</t>
  </si>
  <si>
    <t>Transportation Line 5</t>
  </si>
  <si>
    <t>The Extended School Year Route Miles for Pupils with Disabilities are obtained from the ADE report “Transportation Route Report,” TRAN55-1, available on ADE's website.</t>
  </si>
  <si>
    <t>Other Information
Line 1</t>
  </si>
  <si>
    <t xml:space="preserve">Enter any amount approved by the State Board of Education for a Capital Transportation Adjustment. Districts are eligible to receive a Capital Transportation Adjustment for the purchase of transportation vehicles if the district:
--Has a student count of fewer than 600 in kindergarten and grades 1-12,
--Transports as eligible students at least one-third of the total student count of the district, and
--Has an approved daily route mileage per eligible student transported of more than 1.0, calculated in  accordance with A.R.S. §15-945 on page 3 of the BSA55 tab.
Any amount reported on this line will be pulled to the DAA Adjustment line on page 4 of the BSA55 tab. 
Amounts entered on lines 1(a) through 1(c) should agree to the DAA Adjustment amounts reported on the district's BSA 55-1, p. 4. </t>
  </si>
  <si>
    <t>Other Information
Line 1a
Continued</t>
  </si>
  <si>
    <t>Other Information
Line 2</t>
  </si>
  <si>
    <t>Other Information
Line 3</t>
  </si>
  <si>
    <t>Include the amount of any transitional costs that are directly associated with routine formalities that are necessary as a result of consolidation, such as changing of signs, letterhead, stationery and similar issues.</t>
  </si>
  <si>
    <t>Other Information
Line 4</t>
  </si>
  <si>
    <t>Other Information Line 5</t>
  </si>
  <si>
    <t>Other Information
Line 6</t>
  </si>
  <si>
    <t>Other Information
Line 7</t>
  </si>
  <si>
    <t>Other Information
Line 9</t>
  </si>
  <si>
    <t>Unified districts (Type 02) with a 9-12 Primary Assessed Valuation that differs from its PSD-8 Primary Assessed Valuation should enter its 9-12 valuation on the AV2 line.</t>
  </si>
  <si>
    <t>Other Information
Line 12</t>
  </si>
  <si>
    <t>Other Information
Line 13</t>
  </si>
  <si>
    <t>Other Information
Line 14.e</t>
  </si>
  <si>
    <t>Other Information
 Line 16</t>
  </si>
  <si>
    <t>Other Information
 Line 18</t>
  </si>
  <si>
    <r>
      <rPr>
        <b/>
        <sz val="14"/>
        <rFont val="Times New Roman"/>
        <family val="1"/>
      </rPr>
      <t>Districts receiving Impact Aid revenues only:</t>
    </r>
    <r>
      <rPr>
        <sz val="14"/>
        <rFont val="Times New Roman"/>
        <family val="1"/>
      </rPr>
      <t xml:space="preserve">
Districts that do not levy taxes to cover the difference between the equalization assistance funding provided through the TSL and the locally funded TRCL, may transfer Impact Aid cash to the M&amp;O Fund to provide funding for the TSL/TRCL difference. The TSL/TRCL difference is shown to the right and the amount entered on line 14 should not exceed this amount.</t>
    </r>
  </si>
  <si>
    <t>Other Information
 Line 19</t>
  </si>
  <si>
    <r>
      <rPr>
        <b/>
        <sz val="14"/>
        <rFont val="Times New Roman"/>
        <family val="1"/>
      </rPr>
      <t>Districts receiving Impact Aid revenues only:</t>
    </r>
    <r>
      <rPr>
        <sz val="14"/>
        <rFont val="Times New Roman"/>
        <family val="1"/>
      </rPr>
      <t xml:space="preserve">
This line could include the amount of the qualifying tax levy calculated on BSA 55-1, page 5 for districts that do not levy taxes.</t>
    </r>
  </si>
  <si>
    <t>Other Information
 Line 21</t>
  </si>
  <si>
    <t>Other Information
 Line 22</t>
  </si>
  <si>
    <r>
      <rPr>
        <b/>
        <sz val="14"/>
        <rFont val="Times New Roman"/>
        <family val="1"/>
      </rPr>
      <t>Districts operating under a small school adjustment only:</t>
    </r>
    <r>
      <rPr>
        <sz val="14"/>
        <rFont val="Times New Roman"/>
        <family val="1"/>
      </rPr>
      <t xml:space="preserve">
Enter the fiscal year that the district exceeded the allowable student counts for the first time as a 4 digit year. For assistance in determining the proper fiscal year to enter on this line districts should contact ADE, School Finance at the email address below.</t>
    </r>
  </si>
  <si>
    <t>Accommodation District
(Type 01) Information
Line 1</t>
  </si>
  <si>
    <r>
      <rPr>
        <b/>
        <sz val="14"/>
        <rFont val="Times New Roman"/>
        <family val="1"/>
      </rPr>
      <t>Accommodation districts only:</t>
    </r>
    <r>
      <rPr>
        <sz val="14"/>
        <rFont val="Times New Roman"/>
        <family val="1"/>
      </rPr>
      <t xml:space="preserve">
Accommodation districts that offer instruction in grades 9-12 should mark the check box to increase the transportation activity support level factor in accordance with A.R.S. §15-945.</t>
    </r>
  </si>
  <si>
    <t>Accommodation District
(Type 01) Information
Line 2</t>
  </si>
  <si>
    <r>
      <rPr>
        <b/>
        <sz val="14"/>
        <rFont val="Times New Roman"/>
        <family val="1"/>
      </rPr>
      <t>Accommodation districts only:</t>
    </r>
    <r>
      <rPr>
        <sz val="14"/>
        <rFont val="Times New Roman"/>
        <family val="1"/>
      </rPr>
      <t xml:space="preserve">
Only accommodation schools with a student count of </t>
    </r>
    <r>
      <rPr>
        <b/>
        <sz val="14"/>
        <rFont val="Times New Roman"/>
        <family val="1"/>
      </rPr>
      <t>more</t>
    </r>
    <r>
      <rPr>
        <sz val="14"/>
        <rFont val="Times New Roman"/>
        <family val="1"/>
      </rPr>
      <t xml:space="preserve"> than 125 in grades K-8 or accommodation schools that offer instruction in grades 9-12 and have a student count of </t>
    </r>
    <r>
      <rPr>
        <b/>
        <sz val="14"/>
        <rFont val="Times New Roman"/>
        <family val="1"/>
      </rPr>
      <t>more</t>
    </r>
    <r>
      <rPr>
        <sz val="14"/>
        <rFont val="Times New Roman"/>
        <family val="1"/>
      </rPr>
      <t xml:space="preserve"> than 100 in grades 9-12, should complete lines 2 through 4. 
The maximum RCL addition that may be authorized by the County School Superintendent is displayed on Calculations tab, Calculation of M&amp;O Fund Budget Balance Carryforward, line 15.e. The amount entered on page 7, line 7 cannot exceed this amount.</t>
    </r>
  </si>
  <si>
    <t>This page uses formulas and the information entered on the Cover and the Data Entry page to make the calculations for certain budget items. Cells highlighted in pink contain a link to the related cell on the Data Entry page. 
As no data is entered on this page, all cells are locked and formulas should not be changed without specific instructions from either the Arizona Auditor General's Accountability Services Division or ADE, School Finance.</t>
  </si>
  <si>
    <t>BSA55</t>
  </si>
  <si>
    <t xml:space="preserve">Amounts entered on the Data Entry page will automatically populate the appropriate fields on the BSA55 page. Districts should compare and, when necessary, revise budgeted amounts to agree to the district's BSA 55-1 report, after it is issued by ADE. </t>
  </si>
  <si>
    <t>Page 2, Audit Service Expense</t>
  </si>
  <si>
    <t>The amount shown for audit expense may not agree to the District's actual BSA 55-1 report from ADE until the amount is manually entered by ADE later in the fiscal year.</t>
  </si>
  <si>
    <t>Page 3,
Activity Trip Level Factors</t>
  </si>
  <si>
    <t>Line 16</t>
  </si>
  <si>
    <t>Total all disability classifications</t>
  </si>
  <si>
    <t>Calculation of district additional assistance (DAA) per student count amounts (A.R.S. §§15-961, as amended by Laws 2023, Ch. 142, §6; and 15-962.01)</t>
  </si>
  <si>
    <r>
      <t xml:space="preserve">Cells with orange shading </t>
    </r>
    <r>
      <rPr>
        <u/>
        <sz val="14"/>
        <color theme="1"/>
        <rFont val="Times New Roman"/>
        <family val="1"/>
      </rPr>
      <t>require</t>
    </r>
    <r>
      <rPr>
        <sz val="14"/>
        <color theme="1"/>
        <rFont val="Times New Roman"/>
        <family val="1"/>
      </rPr>
      <t xml:space="preserve"> user input. </t>
    </r>
    <r>
      <rPr>
        <b/>
        <sz val="14"/>
        <color theme="1"/>
        <rFont val="Times New Roman"/>
        <family val="1"/>
      </rPr>
      <t xml:space="preserve">Manually </t>
    </r>
    <r>
      <rPr>
        <sz val="14"/>
        <color theme="1"/>
        <rFont val="Times New Roman"/>
        <family val="1"/>
      </rPr>
      <t>complete all cells shaded orange. If the cell requires an amount, enter the amount as a whole number (with no decimals). If an amount is zero, enter 0. If the cell requires information other than a number, enter as mush detail as necessary in the field. Certain cells may highlight with orange shading based on input in other cells.</t>
    </r>
  </si>
  <si>
    <t>Student Count
by Category
Line 22</t>
  </si>
  <si>
    <t>Check box if the district previously operated under a small school adjustment and no longer qualifies based on current year ADM. The phase down limit for an override election pursuant to A.R.S. §15-481 is shown in the appropriate section of the Calculations page. If this box is checked, the district must complete line 22 below.</t>
  </si>
  <si>
    <t>OR  If the district holds an override election as provided in A.R.S. Section 15-481, the district may include up to the amount calculated below on page 7, line 3(a). For purposes of small school adjustment, the FY 2026 student count is the 2025 ADM.</t>
  </si>
  <si>
    <t>The maximum amount the district may budget on Budget, page 7, line 3(a), subject to an override election, is the amount calculated below.  For purposes of small school adjustment, the FY 2026 student count is the 2025 ADM.</t>
  </si>
  <si>
    <t>Adjusted FY26 DAA Base Allocation</t>
  </si>
  <si>
    <t>FY26 DSL/RCL Allocation</t>
  </si>
  <si>
    <t xml:space="preserve">        Total (lines 2-12)</t>
  </si>
  <si>
    <t>Total amounts reported on lines 2-12 above for:</t>
  </si>
  <si>
    <t xml:space="preserve">       Total (lines 14-16, must equal line 13)</t>
  </si>
  <si>
    <t>(1) Lines 2-12 may not include all budgeted expenditures of the fund. Total budgeted expenditures for each fund should be included on Line 1.</t>
  </si>
  <si>
    <t>District website link of posted budget</t>
  </si>
  <si>
    <t>District Website Link</t>
  </si>
  <si>
    <t>District Information</t>
  </si>
  <si>
    <t>UCO Fund Type</t>
  </si>
  <si>
    <t>1, 3, 4</t>
  </si>
  <si>
    <t>Student Count
by Category
Lines 8 and 9</t>
  </si>
  <si>
    <t>Include amounts for Funds 300-399 Other Federal Projects (besides funds that are separately reported on lines 15 through 18).</t>
  </si>
  <si>
    <t>This line should be left blank unless otherwise instructed by ADE.</t>
  </si>
  <si>
    <r>
      <rPr>
        <b/>
        <sz val="14"/>
        <rFont val="Times New Roman"/>
        <family val="1"/>
      </rPr>
      <t>Budget Revision</t>
    </r>
    <r>
      <rPr>
        <sz val="14"/>
        <rFont val="Times New Roman"/>
        <family val="1"/>
      </rPr>
      <t xml:space="preserve">
This line should agree to the total actual interest earned on CSF investments, as reported on the prior year AFR for the CSF.</t>
    </r>
  </si>
  <si>
    <r>
      <t xml:space="preserve">After completing the Data Entry tab, the amount of the district RCL from the BSA55 tab, page 3 will pull to line 1.
</t>
    </r>
    <r>
      <rPr>
        <b/>
        <sz val="14"/>
        <rFont val="Times New Roman"/>
        <family val="1"/>
      </rPr>
      <t xml:space="preserve">Budget Revision
</t>
    </r>
    <r>
      <rPr>
        <sz val="14"/>
        <rFont val="Times New Roman"/>
        <family val="1"/>
      </rPr>
      <t>For budget revision, the Data Entry tab should be revised and the recalculated RCL will pull to line 1. See budget revision instructions for the Data Entry tab.</t>
    </r>
  </si>
  <si>
    <r>
      <t xml:space="preserve">This line should be left blank for budget adoption. 
</t>
    </r>
    <r>
      <rPr>
        <b/>
        <sz val="14"/>
        <rFont val="Times New Roman"/>
        <family val="1"/>
      </rPr>
      <t>Budget Revision</t>
    </r>
    <r>
      <rPr>
        <sz val="14"/>
        <rFont val="Times New Roman"/>
        <family val="1"/>
      </rPr>
      <t xml:space="preserve">
If a school provides instructional time in a remote setting beyond the thresholds prescribed in A.R.S. §15-901.08(C)(3)(b)(i) in any school year, ADE will calculate the adjustment amount to include on this line for final budget revisions in accordance with A.R.S. §15-901.08(D), if any.</t>
    </r>
  </si>
  <si>
    <r>
      <t xml:space="preserve">This line should be left blank for budget adoption.
</t>
    </r>
    <r>
      <rPr>
        <b/>
        <sz val="14"/>
        <color theme="1"/>
        <rFont val="Times New Roman"/>
        <family val="1"/>
      </rPr>
      <t>Budget Revision</t>
    </r>
    <r>
      <rPr>
        <sz val="14"/>
        <color theme="1"/>
        <rFont val="Times New Roman"/>
        <family val="1"/>
      </rPr>
      <t xml:space="preserve">
ADE will calculate the amount for the CTED 9th Grade Funding Adjustment pursuant to A.R.S. §15-393(X) through (Z) and notify districts when complete. Districts should revise their budget after notification.
Contact ADE's School Finance budget team with questions concerning this adjustment at the email address below. </t>
    </r>
  </si>
  <si>
    <r>
      <t xml:space="preserve">This line should be left blank for budget adoption.
</t>
    </r>
    <r>
      <rPr>
        <b/>
        <sz val="14"/>
        <color theme="1"/>
        <rFont val="Times New Roman"/>
        <family val="1"/>
      </rPr>
      <t>Budget Revision</t>
    </r>
    <r>
      <rPr>
        <sz val="14"/>
        <color theme="1"/>
        <rFont val="Times New Roman"/>
        <family val="1"/>
      </rPr>
      <t xml:space="preserve">
ADE will calculate the total amount for the CTED Continuation 13th Grade Funding Adjustment pursuant to A.R.S. §15-393(X) through (Z) and notify districts when complete. Districts should revise their budget after notification. 
Contact ADE's School Finance budget team with questions concerning this adjustment at the email address below. 
</t>
    </r>
  </si>
  <si>
    <r>
      <t xml:space="preserve">In accordance with A.R.S. §15-945(B), the support level for academic education, career and technical education, vocational education, and athletic trips is computed by multiplying the To and From School Support Level by the appropriate factor from the table below.
                                                           Route miles per eligible student
</t>
    </r>
    <r>
      <rPr>
        <u/>
        <sz val="14"/>
        <rFont val="Times New Roman"/>
        <family val="1"/>
      </rPr>
      <t>District type</t>
    </r>
    <r>
      <rPr>
        <sz val="14"/>
        <rFont val="Times New Roman"/>
        <family val="1"/>
      </rPr>
      <t xml:space="preserve">                                   </t>
    </r>
    <r>
      <rPr>
        <u/>
        <sz val="14"/>
        <rFont val="Times New Roman"/>
        <family val="1"/>
      </rPr>
      <t>1.0 or less</t>
    </r>
    <r>
      <rPr>
        <sz val="14"/>
        <rFont val="Times New Roman"/>
        <family val="1"/>
      </rPr>
      <t xml:space="preserve">                       </t>
    </r>
    <r>
      <rPr>
        <u/>
        <sz val="14"/>
        <rFont val="Times New Roman"/>
        <family val="1"/>
      </rPr>
      <t>More than 1.0</t>
    </r>
    <r>
      <rPr>
        <sz val="14"/>
        <rFont val="Times New Roman"/>
        <family val="1"/>
      </rPr>
      <t xml:space="preserve">
Type 01 w/o HS instruction                0.10                                   0.12
Type 01 w/ HS instruction                  0.15                                   0.18
Type 02                                              0.15                                   0.18
Type 03                                              0.15                                   0.18
Type 04                                              0.10                                   0.12
Type 05                                              0.25                                   0.30</t>
    </r>
  </si>
  <si>
    <r>
      <rPr>
        <b/>
        <sz val="14"/>
        <rFont val="Times New Roman"/>
        <family val="1"/>
      </rPr>
      <t>Budget Revision</t>
    </r>
    <r>
      <rPr>
        <sz val="14"/>
        <rFont val="Times New Roman"/>
        <family val="1"/>
      </rPr>
      <t xml:space="preserve">
Line 13 should reflect total actual CSF expenditures as reported on the district’s prior year AFR.</t>
    </r>
  </si>
  <si>
    <t>Line 13</t>
  </si>
  <si>
    <t>Line 17</t>
  </si>
  <si>
    <t>Budgeted expenditures (lines 14, and 24-29)</t>
  </si>
  <si>
    <t>Total budget limit expenditures (lines 10-11)</t>
  </si>
  <si>
    <t>Total budget limit expenditures (lines 10-11)
    (Cannot exceed page 8, line 12)</t>
  </si>
  <si>
    <t>Budgeted expenditures (lines 1-8)</t>
  </si>
  <si>
    <t xml:space="preserve">Budgeted expenditures (lines 2-9) </t>
  </si>
  <si>
    <t>State Projects, Line 31</t>
  </si>
  <si>
    <t>Mesa Distance Learning Program (MDLP)</t>
  </si>
  <si>
    <t>Pearson (Connexus)</t>
  </si>
  <si>
    <t>Lines 32</t>
  </si>
  <si>
    <t>Lines 10</t>
  </si>
  <si>
    <t>Lines 12</t>
  </si>
  <si>
    <t>Maintenance and Operation Fund (from pages 1, lines 30-31 and 7, line 10)</t>
  </si>
  <si>
    <t>Unrestricted Capital Fund (from pages 4, lines 10-11 and 8, line 12)</t>
  </si>
  <si>
    <t>Federal projects other than Impact Aid (from budget, page 6, Federal Projects, minus 378 [lines 18 and 20])</t>
  </si>
  <si>
    <t>In accordance with A.R.S. §15-905, districts that maintain a website must provide a link on their website to ADE’s website where the district’s proposed and adopted budget/summary can be viewed. Districts should paste a clickable link in the space provided on the Cover tab to their District web page where the link to the proposed and adopted budget/summary was placed.</t>
  </si>
  <si>
    <t>Section B</t>
  </si>
  <si>
    <t>Section B is optional. Districts can use this section to include additional information about its fund balances and planned spending. Districts can also use this section to list funds included in Other funds reported in the General fund (column E), Other capital projects (column I), and Other special revenue (column L).</t>
  </si>
  <si>
    <t>(2) The amounts budgeted on line 11 cannot exceed the respective amounts on this line.</t>
  </si>
  <si>
    <t>Line 11</t>
  </si>
  <si>
    <t>(2)   Detail by object code:</t>
  </si>
  <si>
    <r>
      <t xml:space="preserve">These instructions are provided to help school districts prepare the expenditure budget. Within the forms, blue font and light blue highlights indicate that an instruction is linked to that specific line. An instructions button has also been provided that links to any general instructions or to the first instruction for a page. To return to the related form after reviewing the instructions, simply click on the form’s tab at the bottom of the Excel screen or press the Alt and back arrow keys. 
Districts should complete the Data Entry page and Supplement, as applicable, </t>
    </r>
    <r>
      <rPr>
        <u/>
        <sz val="14"/>
        <rFont val="Times New Roman"/>
        <family val="1"/>
      </rPr>
      <t>before</t>
    </r>
    <r>
      <rPr>
        <sz val="14"/>
        <rFont val="Times New Roman"/>
        <family val="1"/>
      </rPr>
      <t xml:space="preserve"> completing pages 1 through 8. To ensure that the district’s data can be properly processed by ADE, formulas should not be changed without specific instructions from either the Arizona Auditor General, Accountability Services Division, or ADE, School Finance.
Select the link below for more information.</t>
    </r>
  </si>
  <si>
    <t>The total amount budgeted on line 11 cannot exceed the CSFBL on line 18. The total amount budgeted in budget year will affect the next year’s CSFBL. Districts should budget up to the Classroom Site Fund Budget Limit (CSFBL) as calculated on lines 12 through 18. See A.R.S. §15-978 and the calculation below.</t>
  </si>
  <si>
    <t>In accordance with A.R.S. §15-977(G)(1), the per pupil amount is calculated based on estimated available resources in the Classroom Site Fund for the budget year and adjusted for prior year revenue carryforwards or shortfalls. However, actual payments to districts may differ from the estimated per pupil Classroom Site Fund allocation. The budget year allocation for the district is multiplied by the district’s weighted student count (based on fundable students attending within the school district in the prior year). The budget year CSF actual payments detail reports will be available on ADE’s website at the link below beginning in August. 
ADE uses districts' prior year 100th day student count as reported in the district's prior year ADM20A and ADM30 reports.</t>
  </si>
  <si>
    <t>State Projects, Line 29</t>
  </si>
  <si>
    <t>Include amounts for Funds 465-499 Other State Projects, including Fund 457—Results-based Funding and Fund 484—Failing Schools Tutoring Grant, along with any other State project funds not included on lines 22 through 30 above.</t>
  </si>
  <si>
    <t>See Line 3 Instructions above.
A.R.S. §15-482 allows a district to request a budget override for programs designed for preschool students with disabilities and students enrolled in kindergarten through grade 12. The amount for the Special Program override may not exceed 5% of the RCL.
If the voters in the override election authorize the district to exceed the RCL, and the increase is to be fully funded by revenues other than property taxes [A.R.S. §15‑481(J)], the increase may only be budgeted and expended if sufficient monies are available in the M&amp;O Fund. A.R.S. §15‑481(Q) Note: Districts will not be able to fund an override with Impact Aid monies in FY 2026, as Impact Aid monies are accounted for in the Impact Aid Fund.</t>
  </si>
  <si>
    <t>Districts are required to use actual expenditures in calculating the budget balance carryforward. Districts that have overexpended in the FY 2025 M&amp;O Fund as authorized by the county board of supervisors, in accordance with A.R.S. §15‑907, cannot record a budget balance carryforward.
Districts should complete Data Entry page, Other Information section, lines 8 through 11. Districts may transfer an amount to the School Opening Fund, not to exceed the lesser of the FY 2025 M&amp;O Fund ending cash balance or the actual budget balance carryforward. The amount transferred will reduce the amount of the budget balance carryforward; therefore, the amount carried forward may not exceed the amount on Calculation page, Calculation of M&amp;O Fund Budget Balance Carryforward section, line 13.
Budget Revision
Districts should compare the amount on line 8(c) to the allowable amount on the FY 2025 BUDG75 Report to determine if revisions are necessary. The amounts on this line cannot exceed the amount reported on page 2 of the BUDG75 Report.</t>
  </si>
  <si>
    <t xml:space="preserve">A.R.S. §15-756.02 requires each school district to implement on a school-by-school basis 1 or more Structured English Immersion (SEI) and Alternative English Instruction (AEI) models adopted or approved by the State Board of Education pursuant to A.R.S. §15-756.01. A.R.S. §15-756.01 defines incremental costs as the costs that are associated with an SEI program pursuant to A.R.S. §15-752 or an AEI program pursuant to A.R.S. §15-753 that are in addition to the normal costs of conducting programs for English proficient students. Further, incremental costs do not include costs that replace the same types of service provided to English proficient students or compensatory instruction. 
A.R.S. §15-756.11 defined compensatory instruction as programs in addition to normal classroom instruction that may include individual or small group instruction, extended day classes, summer school, or intersession school. Compensatory instruction programs must be limited to improving the English proficiency of current ELL students and students who were ELL students and who have been reclassified as English proficient within the previous 2 years. </t>
  </si>
  <si>
    <t>Each adjacent ways project proposal funded through this special assessment must be filed with ADOA's Division of School Facilities and include the project cost estimate. If the cost of the project is greater than $50,000, the Division must approve or deny the project within 60 days after receiving the filing of the project proposal by the district and the expenditure shall not be made unless the Division validates specified criteria, in accordance with A.R.S. §15-995.</t>
  </si>
  <si>
    <t>Districts should select the name of their current Student Information Systems (SIS) Vendor and Accounting Information System from the dropdown list, and manually complete the Bookstore Cash Receipting System information.</t>
  </si>
  <si>
    <t>Districts should identify where the UCO Fund is reported on the Fund balances tab. Use the dropdown menu to select either the General Fund or Capital Projects Funds.</t>
  </si>
  <si>
    <r>
      <t xml:space="preserve">If the district enters amounts for capital transportation adjustment on lines 1.a through 1.c these amounts are included in the DAA Adjustment line on the BSA55 tab, page 4. 
</t>
    </r>
    <r>
      <rPr>
        <b/>
        <sz val="14"/>
        <rFont val="Times New Roman"/>
        <family val="1"/>
      </rPr>
      <t>Budget Revision</t>
    </r>
    <r>
      <rPr>
        <sz val="14"/>
        <rFont val="Times New Roman"/>
        <family val="1"/>
      </rPr>
      <t xml:space="preserve">
These amounts will cause a discrepancy between the DAA Adjustment shown on the BSA55 tab and the amount reported on the District’s actual BSA 55-1 report until the capital transportation amounts are manually loaded into the BSA system by ADE, which usually occurs in March. </t>
    </r>
  </si>
  <si>
    <r>
      <t xml:space="preserve">This line should be left blank for budget adoption. 
</t>
    </r>
    <r>
      <rPr>
        <b/>
        <sz val="14"/>
        <rFont val="Times New Roman"/>
        <family val="1"/>
      </rPr>
      <t>Budget Revision</t>
    </r>
    <r>
      <rPr>
        <sz val="14"/>
        <rFont val="Times New Roman"/>
        <family val="1"/>
      </rPr>
      <t xml:space="preserve">
Once the BUDG75 Report is available, districts may recalculate carryforward amounts for reconciliation to ADE’s BUDG75 Report by filling in amounts on these lines from that report and zero filling the unexpended budget lines 14(a) through 14(e) below.</t>
    </r>
  </si>
  <si>
    <t>Line 30</t>
  </si>
  <si>
    <r>
      <rPr>
        <b/>
        <sz val="8"/>
        <color indexed="12"/>
        <rFont val="Times New Roman"/>
        <family val="1"/>
      </rPr>
      <t xml:space="preserve">          </t>
    </r>
    <r>
      <rPr>
        <b/>
        <u/>
        <sz val="8"/>
        <color indexed="12"/>
        <rFont val="Times New Roman"/>
        <family val="1"/>
      </rPr>
      <t>Activity Trip Level Factor</t>
    </r>
  </si>
  <si>
    <t>The amount budgeted in the M&amp;O Fund cannot exceed the General Budget Limit (GBL) on page 7, line 11. See A.R.S. §15-947(C) and calculation on page 7. ADE uses line 32 to calculate the Budgeted GBL for M&amp;O (lesser of page 1 or GBL) in the BUDG25 report.</t>
  </si>
  <si>
    <t>(from BSA55 tab, page 3)</t>
  </si>
  <si>
    <t>(A.R.S. §15-905.F)  (page 1, line 32 cannot exceed this amount)</t>
  </si>
  <si>
    <t>The amount budgeted on page 4, line 12 cannot exceed this amount.</t>
  </si>
  <si>
    <r>
      <t>Maintained for spending after FY</t>
    </r>
    <r>
      <rPr>
        <sz val="14"/>
        <color rgb="FFFF0000"/>
        <rFont val="Times New Roman"/>
        <family val="1"/>
      </rPr>
      <t xml:space="preserve"> 2027</t>
    </r>
    <r>
      <rPr>
        <sz val="14"/>
        <rFont val="Times New Roman"/>
        <family val="1"/>
      </rPr>
      <t xml:space="preserve"> (budgeted carryforward)</t>
    </r>
  </si>
  <si>
    <r>
      <t xml:space="preserve">For funds with a negative </t>
    </r>
    <r>
      <rPr>
        <u/>
        <sz val="14"/>
        <color theme="1"/>
        <rFont val="Times New Roman"/>
        <family val="1"/>
      </rPr>
      <t>estimated</t>
    </r>
    <r>
      <rPr>
        <sz val="14"/>
        <color theme="1"/>
        <rFont val="Times New Roman"/>
        <family val="1"/>
      </rPr>
      <t xml:space="preserve"> FY 2026 ending fund balance, enter the negative fund balance amounts on this line in the applicable fund type column. These funds have deficit balances because expenditures exceeded available resources from current revenues and prior year fund balance and reduce the amount of resources available in future years.   </t>
    </r>
  </si>
  <si>
    <r>
      <t xml:space="preserve">Total budget limit expenditures (lines 30-31)
    (Cannot exceed page 7, line </t>
    </r>
    <r>
      <rPr>
        <sz val="9"/>
        <color theme="1"/>
        <rFont val="Times New Roman"/>
        <family val="1"/>
      </rPr>
      <t>11</t>
    </r>
    <r>
      <rPr>
        <sz val="9"/>
        <rFont val="Times New Roman"/>
        <family val="1"/>
      </rPr>
      <t>)</t>
    </r>
  </si>
  <si>
    <t>Prior year over expenditures/resolutions:</t>
  </si>
  <si>
    <t xml:space="preserve">   2000 Support services</t>
  </si>
  <si>
    <t xml:space="preserve">      2200 Instructional staff</t>
  </si>
  <si>
    <t xml:space="preserve">      2300 General administration</t>
  </si>
  <si>
    <t xml:space="preserve">      2400 School administration</t>
  </si>
  <si>
    <t xml:space="preserve">      2500 Central services</t>
  </si>
  <si>
    <t xml:space="preserve">      2600 Operation &amp; maintenance of plant</t>
  </si>
  <si>
    <t xml:space="preserve">   3000 Operation of noninstructional services</t>
  </si>
  <si>
    <t>630 Other instructional programs</t>
  </si>
  <si>
    <t>700, 800, 900 Other programs</t>
  </si>
  <si>
    <t xml:space="preserve">   Regular education subsection subtotal (lines 1-13)</t>
  </si>
  <si>
    <t>200 and 300 Special education</t>
  </si>
  <si>
    <t>400 Pupil transportation</t>
  </si>
  <si>
    <t>530 Dropout prevention programs</t>
  </si>
  <si>
    <t>540 Joint career and technical education and vocational</t>
  </si>
  <si>
    <t>550 K-3 Reading program</t>
  </si>
  <si>
    <t>Gifted education</t>
  </si>
  <si>
    <t>Remedial education</t>
  </si>
  <si>
    <t>ELL incremental costs</t>
  </si>
  <si>
    <t>ELL compensatory instruction</t>
  </si>
  <si>
    <t>Vocational and technical education (non-CTED)</t>
  </si>
  <si>
    <t>Career education (non-CTED)</t>
  </si>
  <si>
    <t>Career technical education (CTED)</t>
  </si>
  <si>
    <t>Total (lines 1 through 8  must equal</t>
  </si>
  <si>
    <r>
      <t xml:space="preserve">Do </t>
    </r>
    <r>
      <rPr>
        <u/>
        <sz val="10"/>
        <rFont val="Times New Roman"/>
        <family val="1"/>
      </rPr>
      <t>not</t>
    </r>
    <r>
      <rPr>
        <sz val="10"/>
        <rFont val="Times New Roman"/>
        <family val="1"/>
      </rPr>
      <t xml:space="preserve"> report budgeted amounts for the performance pay component of the Classroom Site Fund on this line.</t>
    </r>
  </si>
  <si>
    <t>Amount budgeted in M&amp;O fund for a performance pay component</t>
  </si>
  <si>
    <t>M&amp;O Fund -nonfederal</t>
  </si>
  <si>
    <t>All funds - federal</t>
  </si>
  <si>
    <t>Unexpended budget balance (line 12 minus 13)</t>
  </si>
  <si>
    <t xml:space="preserve">        2000  Support services</t>
  </si>
  <si>
    <t xml:space="preserve">            2100, 2200  Students and instructional staff</t>
  </si>
  <si>
    <t xml:space="preserve">            2600  Operation &amp; maintenance of plant</t>
  </si>
  <si>
    <t xml:space="preserve">            2700  Student transportation</t>
  </si>
  <si>
    <t xml:space="preserve">        3000  Operation of noninstructional services (5)</t>
  </si>
  <si>
    <t xml:space="preserve">        4000  Facilities acquisition and construction</t>
  </si>
  <si>
    <t xml:space="preserve">        5000  Debt service</t>
  </si>
  <si>
    <t>(1)   Amounts in the Unrestricted Capital Outlay override line 1 above must be included in the appropriate individual line items for fund 610 and in the budget year total column.</t>
  </si>
  <si>
    <t>6641 Library books</t>
  </si>
  <si>
    <t>6643 Instructional aids</t>
  </si>
  <si>
    <t xml:space="preserve">673X Furniture and equipment </t>
  </si>
  <si>
    <t>673X Tech hardware &amp; software</t>
  </si>
  <si>
    <t xml:space="preserve">        6150 Classified salaries</t>
  </si>
  <si>
    <t xml:space="preserve">        6200 Employee benefits</t>
  </si>
  <si>
    <t xml:space="preserve">        6450 Construction services</t>
  </si>
  <si>
    <t xml:space="preserve">        6655 Short-term noninstructional software subscription</t>
  </si>
  <si>
    <t xml:space="preserve">        6710 Land and improvements</t>
  </si>
  <si>
    <t xml:space="preserve">        6720 Buildings and improvements</t>
  </si>
  <si>
    <t xml:space="preserve">        673X Furniture and equipment</t>
  </si>
  <si>
    <t xml:space="preserve">        673X Technology hardware &amp; software</t>
  </si>
  <si>
    <t xml:space="preserve">        6831, 6832, 6833 redemption of principal</t>
  </si>
  <si>
    <t xml:space="preserve">        6841, 6842, 6843, 6850, 6860 Interest and debt-issuance costs</t>
  </si>
  <si>
    <t xml:space="preserve">       New construction</t>
  </si>
  <si>
    <t>210 ESEA Title VI - flexibility and accountability</t>
  </si>
  <si>
    <t>From supplement, line 10 and line 20, respectively.</t>
  </si>
  <si>
    <t>DAA adjustment (from BSA55 tab, page 4)</t>
  </si>
  <si>
    <t xml:space="preserve">Tuition revenue (A.R.S. §§15-823 and 15-824) </t>
  </si>
  <si>
    <t>Individuals and other private sources</t>
  </si>
  <si>
    <t>Desegregation expenditures (A.R.S. §15-910.G-K)</t>
  </si>
  <si>
    <t xml:space="preserve">Unexpended budget balance in Fund 610 (line 5 minus 6) If negative, use zero in </t>
  </si>
  <si>
    <t xml:space="preserve">      2700 Student transportation </t>
  </si>
  <si>
    <t>Supplement to School District Annual Expenditure Budget for Districts that Budget for English Language Learners 
 (A.R.S. §§15-756.04 and 15-756.11)</t>
  </si>
  <si>
    <t>at the District office, telephone</t>
  </si>
  <si>
    <t>3.  Budgeted expenditures and budget limits:</t>
  </si>
  <si>
    <t>100 Regular education</t>
  </si>
  <si>
    <t xml:space="preserve">      2600 Oper./maint. of plant</t>
  </si>
  <si>
    <t xml:space="preserve">   3000 Oper. Of noninstructional services</t>
  </si>
  <si>
    <t>610 School-sponsored cocurric. activities</t>
  </si>
  <si>
    <t>620 School-sponsored athletics</t>
  </si>
  <si>
    <t>630, 700, 800, 900 Other programs</t>
  </si>
  <si>
    <t xml:space="preserve">   Regular education subsection subtotal </t>
  </si>
  <si>
    <t xml:space="preserve">   3000 Oper. of noninstructional services</t>
  </si>
  <si>
    <t xml:space="preserve">   Special education subsection subtotal </t>
  </si>
  <si>
    <t>540 Joint career and technical education</t>
  </si>
  <si>
    <t>550 K-3 reading program</t>
  </si>
  <si>
    <t>Budgeted expenditures</t>
  </si>
  <si>
    <t xml:space="preserve">Joint career and technical education and vocational education center </t>
  </si>
  <si>
    <t>Desegregation, dropout prevention, and joint career and technical education and vocational education center</t>
  </si>
  <si>
    <t>Excess over Truth in Taxation limit  (1)</t>
  </si>
  <si>
    <t>of the budget pursuant to A.R.S. §15-907 (1)</t>
  </si>
  <si>
    <t>If an amount on line 11, 12, or 13 is greater than zero, the district must publish a Truth in Taxation hearing notice as described in A.R.S. §15-905.01.</t>
  </si>
  <si>
    <t>Support level weight</t>
  </si>
  <si>
    <t>Student count 100.000-499.999</t>
  </si>
  <si>
    <t>Student count</t>
  </si>
  <si>
    <t>Adjusted support level weight</t>
  </si>
  <si>
    <t>Student count 500.000-599.999</t>
  </si>
  <si>
    <t xml:space="preserve">Student count </t>
  </si>
  <si>
    <t>Student count 600.000 or more</t>
  </si>
  <si>
    <t>Portion of BSL/BRCL from total K-3 and total K-3 reading weighted student counts:</t>
  </si>
  <si>
    <t>DAA per student count</t>
  </si>
  <si>
    <t>Support level amount</t>
  </si>
  <si>
    <t>Budget balance (line 7 minus line 8) (if negative, zero is shown. Any negative amount is shown here in parentheses.)</t>
  </si>
  <si>
    <t>Actual budget balance carryforward to be used in M&amp;O Fund (for GBL calculation on page 7, line 8.b)</t>
  </si>
  <si>
    <t xml:space="preserve">Actual budget balance carryforward </t>
  </si>
  <si>
    <t>Adjusted support level weight (See table I at right for calculation)</t>
  </si>
  <si>
    <t xml:space="preserve">Base level amount </t>
  </si>
  <si>
    <t>Budgeted carryforward</t>
  </si>
  <si>
    <t>Budget limit</t>
  </si>
  <si>
    <t>610 School-sponsored cocurricular activities</t>
  </si>
  <si>
    <t>510 Desegregation (from districtwide Desegregation</t>
  </si>
  <si>
    <t xml:space="preserve">    education center </t>
  </si>
  <si>
    <t>Teacher-pupil 1 to</t>
  </si>
  <si>
    <t>Staff-pupil  1 to</t>
  </si>
  <si>
    <t>Special education programs by type (M&amp;O Fund programs 200 and 300)</t>
  </si>
  <si>
    <t>Amount budgeted in M&amp;O for food service (fund 001, function 3100)</t>
  </si>
  <si>
    <t>Classroom Site Fund budget limit calculation</t>
  </si>
  <si>
    <t>Unrestricted Capital Outlay override  (1)</t>
  </si>
  <si>
    <t>Total fund expenditures</t>
  </si>
  <si>
    <t>Select object codes detail (1)</t>
  </si>
  <si>
    <t>220 IDEA Part B</t>
  </si>
  <si>
    <t>240 Workforce Investment Act</t>
  </si>
  <si>
    <t>100-130 ESEA Title I - Helping Disadvantaged Children</t>
  </si>
  <si>
    <t>140-150 ESEA Title II - Prof. Dev. and Technology</t>
  </si>
  <si>
    <t>160 ESEA Title IV - 21st Century Schools</t>
  </si>
  <si>
    <t>170-180 ESEA Title V - Promote Informed Parent Choice</t>
  </si>
  <si>
    <t>190 ESEA Title III - Limited Eng. &amp; Immigrant Students</t>
  </si>
  <si>
    <t>200 ESEA Title VII - Indian Education</t>
  </si>
  <si>
    <t xml:space="preserve">300-399 Other Federal projects </t>
  </si>
  <si>
    <t>699 Federal Impact Aid (construction)</t>
  </si>
  <si>
    <t>400 Vocational education</t>
  </si>
  <si>
    <t>420 Ext. school yr. - pupils with disabilities</t>
  </si>
  <si>
    <t>425 Adult basic education</t>
  </si>
  <si>
    <t>Total Federal project funds (lines 1-20)</t>
  </si>
  <si>
    <t>450 Gifted education</t>
  </si>
  <si>
    <t>435 Academic contests</t>
  </si>
  <si>
    <t>430 Chemical abuse prevention programs</t>
  </si>
  <si>
    <t>456 College credit exam incentives</t>
  </si>
  <si>
    <t>Other State projects</t>
  </si>
  <si>
    <t>Total State project funds (lines 22-31)</t>
  </si>
  <si>
    <t>Total special projects (lines 21 and 32)</t>
  </si>
  <si>
    <t>Instructional Improvement Fund expenditures (020)</t>
  </si>
  <si>
    <t>Teacher compensation increases</t>
  </si>
  <si>
    <t>Class size reduction</t>
  </si>
  <si>
    <t>Dropout prevention programs (M&amp;O purposes)</t>
  </si>
  <si>
    <t>Instructional improvement programs (M&amp;O purposes)</t>
  </si>
  <si>
    <t>Small schoool adjustment for Districts with a student count of 125 or less in K-8 or 100 or less in 9-12 (A.R.S. §15-949) (Up to $50,000 if no election is chosen for phase down, see Calculations page, Calculation of small school adjustment phase down limit, line 6)</t>
  </si>
  <si>
    <t>Other Arizona districts</t>
  </si>
  <si>
    <t>Out-of-state districts and other governments</t>
  </si>
  <si>
    <t>State Assistance (A.R.S. §15-976) and special ed. voucher payments received (A.R.S. §15-1204)</t>
  </si>
  <si>
    <t>[not to exceed amount on Calculations page, Calculation of M&amp;O Fund budget balance carryforward, line 15(e)]  (A.R.S. §15-974.B)</t>
  </si>
  <si>
    <t>Budget increase for:</t>
  </si>
  <si>
    <t>Increase authorized by County School Superintendent for accommodation schools</t>
  </si>
  <si>
    <t>Budget balance carryforward (from Calculations page, Calculation of M&amp;O Fund budget balance carryforward, line 13) (A.R.S. §15-943.01)</t>
  </si>
  <si>
    <t>Dropout prevention programs (Laws 1992, Ch. 305, §32 and Laws 2000, Ch. 398, §2)</t>
  </si>
  <si>
    <t xml:space="preserve">Registered warrant or tax anticipation note interest expense incurred in </t>
  </si>
  <si>
    <t>Joint career and technical education and vocational education center (A.R.S. §15-910.01)</t>
  </si>
  <si>
    <t>Calculation of M&amp;O Fund budget balance carryforward, line 10.e) (A.R.S. §15-920)</t>
  </si>
  <si>
    <t>Excessive property tax assessed valuation judgments (A.R.S. §§42-16213 and 42-16214)</t>
  </si>
  <si>
    <t>Transportation revenues for attendance of nonresident pupils (A.R.S. §§15-923 and 15-947)</t>
  </si>
  <si>
    <t>Decrease for transfer from M&amp;O to Energy and Water Savings Fund</t>
  </si>
  <si>
    <t>Increase for Energy and Water Savings Fund transfer to M&amp;O</t>
  </si>
  <si>
    <t>Noncompliance adjustment</t>
  </si>
  <si>
    <t>ADM/Transportation audit adjustment</t>
  </si>
  <si>
    <t>Subject to adjustment prior to May 15 as allowed by A.R.S. revisions are described in the instructions for these lines, as needed.</t>
  </si>
  <si>
    <t>Total UCBL adjustment for prior years as notified by ADE on BUDG75 report (for budget</t>
  </si>
  <si>
    <t>Total (lines 1-9) (to Budget, Page 6, Other funds, line 2)</t>
  </si>
  <si>
    <t>Total (lines 11-19) (to Budget, Page 6, Other funds, line 3)</t>
  </si>
  <si>
    <t>1.  Average daily membership:</t>
  </si>
  <si>
    <t>2.  Tax rates:</t>
  </si>
  <si>
    <r>
      <t>Secondary rate (</t>
    </r>
    <r>
      <rPr>
        <sz val="8"/>
        <color indexed="8"/>
        <rFont val="Times New Roman"/>
        <family val="1"/>
      </rPr>
      <t>voter-approved overrides, bonds, and career technical education districts, and desegregation, if applicable)</t>
    </r>
  </si>
  <si>
    <t>Maintenance and Operation expenditures</t>
  </si>
  <si>
    <t>Salaries and benefits</t>
  </si>
  <si>
    <t>prior FY</t>
  </si>
  <si>
    <t xml:space="preserve">       and vocational education center</t>
  </si>
  <si>
    <t>Total budget limit expenditures</t>
  </si>
  <si>
    <t>From page 6, other funds</t>
  </si>
  <si>
    <t>The table below calculates the total amount shown on the total expenditures by fund, other line.  This table does not need to be printed as an official part of the budget forms.</t>
  </si>
  <si>
    <t>M&amp;O Fund special education programs by type</t>
  </si>
  <si>
    <t xml:space="preserve"> prior FY</t>
  </si>
  <si>
    <t>Purchased services personnel  FTE</t>
  </si>
  <si>
    <t>Staff type</t>
  </si>
  <si>
    <t>Staff-pupil ratio</t>
  </si>
  <si>
    <t>Special revenue</t>
  </si>
  <si>
    <t>Capital projects</t>
  </si>
  <si>
    <t>Calculations for Truth in Taxation notice</t>
  </si>
  <si>
    <t>$10,000 is used in these calculations to determine the amounts to include on the Truth in Taxation hearing notice for a $100,000 home, as property taxes on residential properties are levied at 10% of the assessed valuation per A.R.S. §42-15003.</t>
  </si>
  <si>
    <t>District information</t>
  </si>
  <si>
    <t>SELECT from dropdown</t>
  </si>
  <si>
    <t xml:space="preserve">Student information systems (SIS) vendor </t>
  </si>
  <si>
    <t>Accounting information system</t>
  </si>
  <si>
    <t>Bookstore cash receipting system</t>
  </si>
  <si>
    <t>UCO Fund type</t>
  </si>
  <si>
    <t>Check box for type 03 districts that educate high school students.</t>
  </si>
  <si>
    <t>Prior years ADM (A.R.S. §§15-901 and 15-961)</t>
  </si>
  <si>
    <t>Current year ADM (A.R.S. §§15-943 and 15-808)</t>
  </si>
  <si>
    <t>AOI Part-time student count</t>
  </si>
  <si>
    <t>AOI Full-time student count</t>
  </si>
  <si>
    <t>Non-AOI student count</t>
  </si>
  <si>
    <t>Total add-on count (lines 7 through 22)</t>
  </si>
  <si>
    <t>CTED 9th grade funding adjustment [(A.R.S. §15-393(X) through (Z), leave blank for budget adoption]</t>
  </si>
  <si>
    <t>CTED continuation 13th grade funding adjustment  [(A.R.S. §15-393(X) through (Z), leave blank for budget adoption]</t>
  </si>
  <si>
    <t>Other BSL adjustment 1</t>
  </si>
  <si>
    <t>Other BSL adjustment 2</t>
  </si>
  <si>
    <t xml:space="preserve">Special program override </t>
  </si>
  <si>
    <t xml:space="preserve">Joint career and technical education and vocational education center (A.R.S. §15-910.01) </t>
  </si>
  <si>
    <t>Budget balance carryforward transferred to the School Opening Fund (if any)</t>
  </si>
  <si>
    <t>Districts receiving Federal Impact Aid revenues (A.R.S. §15-905.R):</t>
  </si>
  <si>
    <t>Additional number of tuitioned students lost in the second year after the base year (type 05 districts only)</t>
  </si>
  <si>
    <t>Additional number of tuitioned students lost in the third year after the base year (type 05 districts only)</t>
  </si>
  <si>
    <t>Calculation of support level weights (group A weights)</t>
  </si>
  <si>
    <t>Student count 0.001-99.999</t>
  </si>
  <si>
    <t>Career technical education district</t>
  </si>
  <si>
    <t>Support level weight (A.R.S. §15-943.02)</t>
  </si>
  <si>
    <t>Total weighted student count</t>
  </si>
  <si>
    <t>Joint career and technical education and vocational education center</t>
  </si>
  <si>
    <t>Budget balance after deductions (If negative, the district does not have any budget balance to carry forward.)</t>
  </si>
  <si>
    <t>Accommodation district maximum RCL addition that may be authorized by County School Superintendent:</t>
  </si>
  <si>
    <t>K-8 Small school budget override limit (line 1.f x line 1.g) (If less than zero, zero is entered)</t>
  </si>
  <si>
    <t>Maximum percent increase to apply to RCL (.65 minus line 2.e)</t>
  </si>
  <si>
    <t>9-12 Small school budget override limit (line 2.f x line 2.g) (If less than zero, zero is entered)</t>
  </si>
  <si>
    <t>TABLE III: 10% of K-8 Non-qualifying RCL</t>
  </si>
  <si>
    <t>Allowable small school adjustment, subject to an election (line 1.h plus line 2.h plus line 3)</t>
  </si>
  <si>
    <t>Maximum override, subject to an election (greater of line 4 or line 5)</t>
  </si>
  <si>
    <t>Revision instructions</t>
  </si>
  <si>
    <t>Summary of significant changes</t>
  </si>
  <si>
    <r>
      <t>Amounts in the prior year columns should be recorded from the budget columns of the latest revised budget for FY 2026. Amounts should be rounded to the nearest dollar. 
Districts should budget for FY 2027 retirement contributions at the rate of 11.87% and for long term disability at a rate of 0.11% for a total contribution rate of 11.98%. Districts should also budget for any applicable alternative contribution payments to state retirement at a rate of 9.</t>
    </r>
    <r>
      <rPr>
        <strike/>
        <sz val="14"/>
        <rFont val="Times New Roman"/>
        <family val="1"/>
      </rPr>
      <t>4</t>
    </r>
    <r>
      <rPr>
        <sz val="14"/>
        <rFont val="Times New Roman"/>
        <family val="1"/>
      </rPr>
      <t>5%.</t>
    </r>
  </si>
  <si>
    <t>All districts must revise the FY 2027 budget to include the 2026 (prior year) and 2027 (current year) 100th-Day ADM from the applicable year's ADM20 report.</t>
  </si>
  <si>
    <t>District tax rates for FY 2026 should be the actual tax rates set by the County Board of Supervisors in August 2025. Tax rates for FY 2027 should be the district’s best estimate. Districts should include detailed secondary tax rates for M&amp;O, Special Program, and Capital Overrides; Class A Bonds; Class B Bonds; Career Technical Education District (CTED); and Desegregation. Class A Bonds are general obligation bonds approved by voters on or before December 31, 1998. Class B Bonds are general obligation bonds approved by voters after December 31, 1998.</t>
  </si>
  <si>
    <t>Function code 2300, object code 6820-Judgments Against the District should be used to budget for excessive property tax valuation judgments to be paid in FY 2027. This amount should also be included on page 7, line 8(g). Pre-approval by ADE is required. Contact ADE’s School Finance payment team at the email address below.</t>
  </si>
  <si>
    <t>A district authorized by ADE to continue participation in Dropout Prevention Programs for FY 2027 pursuant to Laws 1992, Ch. 305, §32 and Laws 2000, Ch. 398, §2, must budget the additional amount on this line.</t>
  </si>
  <si>
    <t>Line 30 subtotals the FY 2027 M&amp;O Fund budgeted expenditures included in lines 1 through 29. Districts should report any amounts maintained for spending after FY 2027 (budgeted carryforward) in line 31.</t>
  </si>
  <si>
    <t>Report amounts the District estimates it will maintain for spending after FY 2027 (budgeted carryforward), including amounts reserved to manage cash flows in future budget years to cover such things as revenue shortfalls, emergencies, and/or other unforeseen circumstances for the M&amp;O Fund on Page 1, for the CSF on Page 3, and for the UCO Fund on Page 4. If the amount is zero, enter a 0.</t>
  </si>
  <si>
    <t>Districts participating in the National School Lunch Program are required to budget a portion of their state revenues to support the operation of their food service program. Districts should budget in the M&amp;O Fund any amounts that will be expended during the 2027 school year for the operation of the food service program. Any questions related to the state matching requirements should be directed to ADE’s Health and Nutrition Services at (602) 542‑8700. 
Budget Revision
Districts that have not already budgeted for the state matching requirements, should include any amounts to be expended for their food service program in the M&amp;O Fund on this line before May 15. ADE’s Health and Nutrition Services will verify that amounts budgeted were spent when the annual financial reports are submitted.</t>
  </si>
  <si>
    <t>Line 9 subtotals the FY 2027 CSF budgeted expenditures included in lines 1 through 8.  Districts should report any amounts maintained for spending after FY 2027 in line 10.</t>
  </si>
  <si>
    <t xml:space="preserve">Some districts have lost CSF budget capacity from budgeting less than the CSFBL in prior years. This line may be used to recapture that budget capacity. Districts should verify any adjustments to the CSF budget limit with ADE's budget team. </t>
  </si>
  <si>
    <t>The amount budgeted in the UCO Fund cannot exceed the Unrestricted Capital Budget Limit (UCBL) on page 8, line 12. The amount budgeted in Fund 610 in FY 2027 will affect the next year’s UCBL. See A.R.S. §15-947(D) and calculation on page 8. ADE uses line 12 to calculate the Budgeted UNR Capital (lesser of page 4 or Budget Limit) in the BUDG25 report.</t>
  </si>
  <si>
    <r>
      <t xml:space="preserve">Districts participating in the National School Lunch Program are required to budget a portion of their state revenues to support the operation of their food service program. Districts should budget in the UCO Fund any amounts that will be expended during the FY 2027 school year for the food service program. Any questions related to the state matching requirements should be directed to ADE’s Health and Nutrition Services at (602) 542‑8700.
</t>
    </r>
    <r>
      <rPr>
        <b/>
        <sz val="14"/>
        <rFont val="Times New Roman"/>
        <family val="1"/>
      </rPr>
      <t>Budget Revision</t>
    </r>
    <r>
      <rPr>
        <sz val="14"/>
        <rFont val="Times New Roman"/>
        <family val="1"/>
      </rPr>
      <t xml:space="preserve">
Districts that have not already budgeted for the state matching requirements, should include any amounts to be expended for their food service program in the UCO Fund on this line before May 15. ADE’s Health and Nutrition Services will verify that amounts budgeted were spent when the annual financial reports are submitted.</t>
    </r>
  </si>
  <si>
    <r>
      <rPr>
        <b/>
        <sz val="14"/>
        <rFont val="Times New Roman"/>
        <family val="1"/>
      </rPr>
      <t>Budget Revision</t>
    </r>
    <r>
      <rPr>
        <sz val="14"/>
        <rFont val="Times New Roman"/>
        <family val="1"/>
      </rPr>
      <t xml:space="preserve">
Compare the amount for District Additional Assistance (DAA) on lines 2(c) to the applicable amount calculated by ADE on page 1 of the most recent FY 2027 BUDG25 Report. The amounts on lines (a) and (b) can be reconciled to page 4 of the district's most recent FY 2027 BSA 55-1 report from ADE.</t>
    </r>
  </si>
  <si>
    <t>Do not include any overrides authorized to use excess Impact Aid cash on these lines.
Districts should use prior year ADM to calculate the RCL for overrides (A.R.S. §15-943). Districts may recalculate their RCL based on prior year ADM in a separate copy of this budget file. Do not submit this separate copy of the file to ADE. Alternatively, districts can get weighted student counts from page 2 of ADE's FY 2026 "BSA Equalization Report", BSA 55-1. ADE has also posted a link to an override calculation worksheet that may be used as a guide in estimating the override amount. The override calculation worksheet and instructions can be found at the link below.</t>
  </si>
  <si>
    <t>See Line 3 Instructions above.
If the voters in the override election authorize the district to exceed the RCL, and the increase is to be fully funded by revenues other than property taxes [A.R.S. §15‑481(F)], only revenues derived from the FY 2026 ending cash balance in the M&amp;O Fund [after the primary tax rate is reduced to zero as required by A.R.S. §15‑481(T)] may be used. A.R.S. §15‑481(P) Note: Districts will not be able to fund an override with Impact Aid monies in FY 2027, as Impact Aid monies are accounted for in the Impact Aid Fund.</t>
  </si>
  <si>
    <t>See Line 3 Instructions above.
If the voters in the override election authorize the district to exceed the Capital Outlay Revenue Limit or District Additional Assistance and the increase is to be fully funded by revenues other than property taxes [A.R.S. §15‑481(M)], only revenues derived from the FY 2026 ending cash balance in the M&amp;O and UCO Funds [after the primary tax rate is reduced to zero as required by A.R.S. §15‑481(T)] may be used. A.R.S. §15‑481(S) Note: Districts will not be able to fund an override with Impact Aid monies in FY 2027, as Impact Aid monies are accounted for in the Impact Aid Fund.
The maximum amount a district may request for a capital budget override is 10% of the RCL. A.R.S. §15‑481(AA)</t>
  </si>
  <si>
    <t>Districts with a student count of 125 or less in grades K‑8, or 100 or less in grades 9‑12 must include an amount on this line if they choose to make a small school adjustment to ensure that page 1, line 30 does not exceed the GBL for M&amp;O. If the district previously qualified for a small school adjustment but has exceeded these student counts, see the instructions for Data Entry tab, Other Information section, lines 17 and 18. For the purposes of Small School Adjustment, districts should use prior year student count (2026 ADM). Districts should not include amounts on these lines for expenditures that are to be made from the Impact Aid Fund.
Budget Revision
If the district received approval from the county board of supervisors to revise its budget to include the cost of additional pupils that were not anticipated at budget adoption in accordance with A.R.S. §15-949(A)(2), include the revised amount on this line and notify ADE of any approved increase via the email address below.</t>
  </si>
  <si>
    <r>
      <t xml:space="preserve">Include assistance received from the State for students whose parents are employed by certain State institutions as described in A.R.S. §15-976. Also, include amounts paid to the State Schools for the Deaf and school district through the special education voucher payment system such as payments for teaching students at the district instead of sending the student to the Arizona the Blind.
</t>
    </r>
    <r>
      <rPr>
        <b/>
        <sz val="14"/>
        <rFont val="Times New Roman"/>
        <family val="1"/>
      </rPr>
      <t>Budget Revision</t>
    </r>
    <r>
      <rPr>
        <sz val="14"/>
        <rFont val="Times New Roman"/>
        <family val="1"/>
      </rPr>
      <t xml:space="preserve">
Districts should use the work sheets provided by ADE to calculate the revised assistance to schools using the ADM reported on the FY 2027 ADM15. The work sheets are available on ADE’s website at the link below.</t>
    </r>
  </si>
  <si>
    <t xml:space="preserve">Total amount to be used for capital expenditures (column B, lines 1 through 8) </t>
  </si>
  <si>
    <t>A district authorized by ADE to continue participation in the Dropout Prevention Programs, in accordance with Laws 1992, Ch. 305, §32 and Laws 2000, Ch. 398, §2, for FY 2027 may record on this line an amount not to exceed the amount budgeted for the Dropout Prevention Programs in FY 1991. Districts should not include amounts on this line for expenditures that are to be made from the Impact Aid Fund.</t>
  </si>
  <si>
    <t>A district may budget an amount less than or equal to interest expense for registering warrants or for net interest expense (interest expense minus interest income) on tax anticipation notes outside the FY 2027 RCL, if both of the following conditions apply:
--The County Treasurer pooled all school district monies for investment during FY 2025 as provided in A.R.S. §15‑996.
--For those districts that received state aid in FY 2025, the districts applied for state aid apportionment before the date set as provided in A.R.S. §15‑973.</t>
  </si>
  <si>
    <r>
      <t xml:space="preserve">Do not include amounts budgeted for the Performance Pay component of the CSF here.
</t>
    </r>
    <r>
      <rPr>
        <b/>
        <sz val="14"/>
        <rFont val="Times New Roman"/>
        <family val="1"/>
      </rPr>
      <t>Budget Revision</t>
    </r>
    <r>
      <rPr>
        <sz val="14"/>
        <rFont val="Times New Roman"/>
        <family val="1"/>
      </rPr>
      <t xml:space="preserve">
Districts should compare the amount on this line to the applicable amounts on the FY 2026 BUDG75 Report to determine if revisions are necessary. The amounts on this line cannot exceed the amounts reported on page 2 of the BUDG75 Report.</t>
    </r>
  </si>
  <si>
    <t>Record the amount of any judgments expected to be paid in FY 2026 for an excessive property tax valuation judgment per A.R.S. §§42-16213 and 42-16214. This amount should also be included on page 1, line 4. Pre-approval by ADE is required. Contact ADE's School Finance payment team at the email address below.</t>
  </si>
  <si>
    <r>
      <t xml:space="preserve">Record adjustments to the General Budget Limit on these lines. If more than 1 year or type of adjustment is recorded on any one line,  indicate each year and the associated amount for each type of adjustment in the line description, but record only one combined amount for all years and types on each line. Record negative amounts in parentheses. Districts that need assistance with the adjustments should contact ADE’s budget team. 
</t>
    </r>
    <r>
      <rPr>
        <b/>
        <sz val="14"/>
        <rFont val="Times New Roman"/>
        <family val="1"/>
      </rPr>
      <t>Budget Revision</t>
    </r>
    <r>
      <rPr>
        <sz val="14"/>
        <rFont val="Times New Roman"/>
        <family val="1"/>
      </rPr>
      <t xml:space="preserve">
Districts should compare the budgeted adjustment amounts to the applicable ADE calculated values on page 1 of the most recent FY 2027 BUDG25, to determine if the amounts should be revised.</t>
    </r>
  </si>
  <si>
    <t>Amount to be used for capital expenditures (from page 7, line 11)</t>
  </si>
  <si>
    <r>
      <rPr>
        <b/>
        <sz val="14"/>
        <rFont val="Times New Roman"/>
        <family val="1"/>
      </rPr>
      <t>Budget Revision</t>
    </r>
    <r>
      <rPr>
        <sz val="14"/>
        <rFont val="Times New Roman"/>
        <family val="1"/>
      </rPr>
      <t xml:space="preserve">
Line 2, if required, should agree to the most recent FY 2026 BUDG75 Report, page 2, “Add to FY27 Expenditure Budget for (UNR), page 8, line 2” This line will also include any positive or negative A.R.S. §15-915 adjustments as approved by ADE. Contact ADE's School Finance budget team with questions concerning the reconciliation of any differences at the email address below.</t>
    </r>
  </si>
  <si>
    <r>
      <rPr>
        <b/>
        <sz val="14"/>
        <rFont val="Times New Roman"/>
        <family val="1"/>
      </rPr>
      <t>Budget Revision</t>
    </r>
    <r>
      <rPr>
        <sz val="14"/>
        <rFont val="Times New Roman"/>
        <family val="1"/>
      </rPr>
      <t xml:space="preserve">
Line 3 should agree to the most recent FY 2026 BUDG75 Report, page 2 “Unrestricted Capital Available for FY26.” Contact ADE's School Finance budget team with questions concerning the reconciliation of any differences at the email address below.</t>
    </r>
  </si>
  <si>
    <r>
      <rPr>
        <b/>
        <sz val="14"/>
        <rFont val="Times New Roman"/>
        <family val="1"/>
      </rPr>
      <t>Budget Revision</t>
    </r>
    <r>
      <rPr>
        <sz val="14"/>
        <rFont val="Times New Roman"/>
        <family val="1"/>
      </rPr>
      <t xml:space="preserve">
This line should reflect total actual UCO Fund 610 expenditures as reported on the district’s FY 2026 AFR, less expenditures approved under A.R.S. §15-907 that are in excess of the most recently revised adopted FY 2026 UCO budget (budget page 4, line 10).</t>
    </r>
  </si>
  <si>
    <r>
      <rPr>
        <b/>
        <sz val="14"/>
        <rFont val="Times New Roman"/>
        <family val="1"/>
      </rPr>
      <t>Budget Revision</t>
    </r>
    <r>
      <rPr>
        <sz val="14"/>
        <rFont val="Times New Roman"/>
        <family val="1"/>
      </rPr>
      <t xml:space="preserve">
Line 8 should agree to the actual amount of interest earned on investments as reported on the district’s FY 2026 AFR for the UCO Fund.</t>
    </r>
  </si>
  <si>
    <r>
      <t xml:space="preserve">Record adjustments to the UCBL on these lines. </t>
    </r>
    <r>
      <rPr>
        <b/>
        <sz val="14"/>
        <rFont val="Times New Roman"/>
        <family val="1"/>
      </rPr>
      <t>Districts should contact ADE’s School Finance budget team at the email address below before budgeting an amount on these lines.</t>
    </r>
    <r>
      <rPr>
        <sz val="14"/>
        <rFont val="Times New Roman"/>
        <family val="1"/>
      </rPr>
      <t xml:space="preserve"> If more than 1 year or type of adjustment is recorded for any 1 line, indicate each year and the associated amount for each type of adjustment in the line description, but record only 1 combined amount for all years and types on each line. Record negative amounts in parentheses. If an amount is zero, enter 0 on that line. 
</t>
    </r>
    <r>
      <rPr>
        <sz val="5"/>
        <rFont val="Times New Roman"/>
        <family val="1"/>
      </rPr>
      <t xml:space="preserve">
</t>
    </r>
  </si>
  <si>
    <r>
      <rPr>
        <b/>
        <sz val="14"/>
        <rFont val="Times New Roman"/>
        <family val="1"/>
      </rPr>
      <t>Budget Revision</t>
    </r>
    <r>
      <rPr>
        <sz val="14"/>
        <rFont val="Times New Roman"/>
        <family val="1"/>
      </rPr>
      <t xml:space="preserve">
Districts should compare budgeted adjustment amounts to the applicable ADE calculated values on page 2 of the most recent FY 2027 BUDG25, to determine if the amounts should be revised.</t>
    </r>
  </si>
  <si>
    <t>ELL Fund 071 is used to account for monies received from ADE to provide for the incremental cost of instruction to ELLs and must be used to supplement existing programs. In accordance  with A.R.S. §15-756.03 and .04 ELL monies must not be used to supplant federal, state, or local monies, including desegregation monies, previously used for ELLs, or used to pay for the normal costs of conducting programs for English proficient students. Districts are required to submit a separate ELL Budget Request Form to ADE to request these monies for FY 2027.</t>
  </si>
  <si>
    <t>In accordance with A.R.S. §15-756.11, the Compensatory Instruction Fund 072 is used to account for monies received from ADE for compensatory instruction programs in addition to normal classroom instruction as described above.  Monies must be used to supplement existing programs and not supplant federal, state, or local monies, including desegregation monies levied pursuant to A.R.S. §15-910, used for ELLs or ELL compensatory instruction that were budgeted as of February 23, 2006. For FY 2027, there were no new monies available for compensatory instruction programs. ADE will allow districts to use the remaining monies but will deduct those amounts from future funding requests for compensatory instruction programs.</t>
  </si>
  <si>
    <t>Districts should report total PSD-12 average daily membership for fiscal year 2026 from the ADM20 report, the report is available on ADE's website. Districts should estimate 2027 current fiscal year ADM.</t>
  </si>
  <si>
    <t>The prior year TNT Base Limit reported on line 1 is the total of the Adjusted FY 2026 TNT Base Limit and the 2026 Excess over TNT Limit. This calculation assumes that the district properly noticed any required TNT Hearing in 2026. If the district reported an amount on the Excess over Truth in Taxation Limit line in 2026 but did not provide the required notification of a TNT hearing, the 2026 Excess over TNT Limit amount should not be added here.</t>
  </si>
  <si>
    <t>Use actual expenditures to date plus estimated amounts for the remainder of FY 2026.</t>
  </si>
  <si>
    <r>
      <t xml:space="preserve">Report FY 2025 final ending fund balances. These balances should include any errors or audit adjustments identified in the District's FY 2025 audit, if applicable. </t>
    </r>
    <r>
      <rPr>
        <u/>
        <sz val="14"/>
        <rFont val="Times New Roman"/>
        <family val="1"/>
      </rPr>
      <t>If the final ending fund balances don't agree with the FY 2025 AFR, the District should revise the AFR and resubmit it to ADE.</t>
    </r>
  </si>
  <si>
    <t>Report FY 2026 revenues and other financing sources. Enter actual amounts to date plus estimated amounts for the remainder of FY 2026, including all FY 2026 amounts that the District anticipates receiving during the encumbrance period.</t>
  </si>
  <si>
    <t>Report FY 2026 expenditures and other financing uses. Enter actual amounts to date plus estimated amounts for the remainder of FY 2026, including all FY 2026 amounts that the District anticipates spending during the encumbrance period.</t>
  </si>
  <si>
    <t>Report FY 2026 estimated nonspendable ending fund balances. These are amounts that cannot be spent because they are either not in spendable form, such as inventories, or are legally or contractually required to be maintained intact.</t>
  </si>
  <si>
    <t xml:space="preserve">Report FY 2026 estimated ending restricted fund balances. These are amounts that have externally imposed restrictions on their usage by creditors (such as through debt covenants), grantors, contributors, laws and regulations of other governments, or by law through constitutional provisions or enabling legislation. </t>
  </si>
  <si>
    <t xml:space="preserve">Report FY 2026 estimated ending committed fund balances. These are amounts that districts can only use for specific purposes pursuant to constraints imposed by the governing board’s formal action. Districts cannot use these amounts for any other purpose unless the governing board removes or changes the specific purpose by taking the same kind of formal action previously used to commit these amounts. Adoption of the annual budget does not constitute a commitment as appropriations lapse at year-end without governing board action. Also includes contractual obligations to the extent that existing resources in the fund have been specifically committed for use in satisfying those contractual requirements. </t>
  </si>
  <si>
    <t>Report FY 2026 estimated ending assigned fund balance. These are the amounts constrained by the District's intent to be used for specific purposes, but that are neither restricted nor committed. The intent should be expressed by the governing board or a body (i.e., budget or finance committee) or official to which the governing board has delegated the authority to assign amounts districts can use for specific purposes.</t>
  </si>
  <si>
    <t>Report FY 2026 estimated ending unassigned fund balance. For the general fund, spendable amounts that are not restricted, committed, or assigned. The general fund is the only fund that may report a positive unassigned fund balance amount. For governmental funds other than the general fund, negative fund balances are reported here if restricted, committed, or assigned amounts exceed total spendable fund balance.</t>
  </si>
  <si>
    <t>Report FY 2026 estimated ending fund balance amounts the District plans to spend to support FY 2027 budgeted spending after using all available FY 2027 revenues. Any nonspendable amounts included in fund balance such as prepaid assets and inventories should be included in this line if the District plans to use them up in FY 2027. Otherwise, such nonspendable assets should be included on line 4(d) based on the District's plan to maintain them in fund balance to be used in a future year, as applicable.</t>
  </si>
  <si>
    <t xml:space="preserve">FY 2025 ADM is used to calculate the district's FY 2027 District Additional Assistance (DAA) growth factor, if any.
Obtain the total ADM amount from the most recent ADE report “Basic Calculations for Equalization Assistance,” BSA 55-1, page 4 of 5, available on ADE's website. </t>
  </si>
  <si>
    <r>
      <t xml:space="preserve">Prior Year ADM
FY 2026 100th-day ADM is used for all districts in the calculation of District Additional Assistance (DAA). 
Obtain total 100th-day ADM for PSD, K-8, and 9-12, including AOI students, from the ADM20 report, available on ADE's website. 
For common school districts not within a high school district (Type 03), the 9-12 column for this line should include only those students in grades 9-12 actually taught by the Type 03 district, if any.
</t>
    </r>
    <r>
      <rPr>
        <b/>
        <sz val="14"/>
        <rFont val="Times New Roman"/>
        <family val="1"/>
      </rPr>
      <t>Budget Revision</t>
    </r>
    <r>
      <rPr>
        <sz val="14"/>
        <rFont val="Times New Roman"/>
        <family val="1"/>
      </rPr>
      <t xml:space="preserve">
Districts should update amounts on this line to reflect 2026 100th-day ADM as reported on the ADM20 report.</t>
    </r>
  </si>
  <si>
    <r>
      <t xml:space="preserve">Current Year ADM
Current year ADM amounts are used to calculate the group A weighted student count and the weighted student count for the BSL calculation on the BSA55 page. 
For budget adoption, districts should estimate the student counts for Non-AOI, AOI Full-Time and AOI Part-Time for FY 2027. There are no ADE reports available to refer to at the time of budget adoption for these counts.
For common school districts not within a high school district (Type 03), the 9-12 column for these lines should include only those students in grades 9-12 that will be taught by the Type 03 district, if any. Type 03 districts should use the checkbox in P15 to confirm it is educating the students included in column I. 
The district of attendance educating 9-12 students from Type 03 districts should include those students in column I.
</t>
    </r>
    <r>
      <rPr>
        <b/>
        <sz val="14"/>
        <rFont val="Times New Roman"/>
        <family val="1"/>
      </rPr>
      <t>Budget Revision</t>
    </r>
    <r>
      <rPr>
        <sz val="14"/>
        <rFont val="Times New Roman"/>
        <family val="1"/>
      </rPr>
      <t xml:space="preserve">
Districts should update amounts on these lines to reflect 2027 100th-day ADM as reported on the ADM20 report, available on ADE's website.</t>
    </r>
  </si>
  <si>
    <r>
      <t xml:space="preserve">For budget adoption, districts should estimate the FY 2027 student count for these lines. 
</t>
    </r>
    <r>
      <rPr>
        <b/>
        <sz val="14"/>
        <rFont val="Times New Roman"/>
        <family val="1"/>
      </rPr>
      <t>Budget Revision</t>
    </r>
    <r>
      <rPr>
        <sz val="14"/>
        <rFont val="Times New Roman"/>
        <family val="1"/>
      </rPr>
      <t xml:space="preserve">
After the 100th-day in session, student counts to determine the Add-On weighted student counts should be obtained from the following ADE reports:
K-3 Student Counts for both the K-3 and K-3 Reading support level weights: ADM20
ELL: ELL20
Children with Disabilities: SPED20</t>
    </r>
  </si>
  <si>
    <t>FRPL (Free or Reduced-Price Lunch)
Districts may use ADE's FRPL20 - summary ADM and/or FRPL30 - site summary ADM reports in AzEDS to estimate FY 2027 eligible student counts. This weight applies to all students in schools with community eligibility.</t>
  </si>
  <si>
    <t>In accordance with A.R.S. §15-902.04, school districts electing to provide at least 200 days of instruction during FY 2027 must receive approval from ADE prior to June 1, 2026. Approved districts should use the check box on this line to activate the increase for the calculation of the BSL/BRCL and the TSL/TRCL.
Please contact the district's ADE School Finance account analyst for specific instructions and the form to request approval. Please contact ADE's School Finance account analyst team at the email address below for specific instructions at the link below.</t>
  </si>
  <si>
    <t>As districts mark the proper check boxes on lines 1 through 3 above, the Adjusted FY 2027 Base Level Amount will automatically update to the proper amount to be used on page 2 of the BSA55 tab.</t>
  </si>
  <si>
    <t>Use the FY 2026 “Teacher Experience Index (TEI),” SDER 96, available on ADE’s website at the link below. Districts should print a copy or save an electronic copy for their records.</t>
  </si>
  <si>
    <t>A.R.S. §15-914.F allows districts to increase the BSL if financial and compliance audit costs will be incurred for the budget year. Enter the non-federal FY 2025 audit expenditures from all funds on line 6. Amount entered should agree to the district's FY 2025 AFR.
Do not include costs of consulting or other nonaudit services paid to audit firms (e.g., application fees paid for submission of district's reports to ASBO and GFOA for certification or for the preparation of the Meritorious Budget Award application to ASBO).</t>
  </si>
  <si>
    <t>Enter the FY 2025 federal audit expenditures from all funds (should agree to FY 2025 AFR).
Do not include costs of consulting or other nonaudit services paid to audit firms (e.g., application fees paid for submission of district's reports to ASBO and GFOA for certification or for the preparation of the Meritorious Budget Award application to ASBO).</t>
  </si>
  <si>
    <t>Used to increase the transportation support level for the annual expenditure for bus tokens and passes for students who qualify as eligible students as defined by A.R.S. §15-901. Enter the FY 2025 annual expenditures for bus tokens and passes from the ADE report “Transportation Route Report,” TRAN55-1, available on ADE's website.</t>
  </si>
  <si>
    <t>In accordance with A.R.S. §15-920, districts may budget any unexpended budget balance in the M&amp;O section attributable to the Performance Pay component in its salary schedule from FY 2026 for use in that component in FY 2027. The Performance Pay budget amount is the portion of FY 2026 M&amp;O expenditures budgeted for a performance pay component of the salary schedule shown on the FY 2026 Budget, page 2. Additionally, the amount calculated on this line, is specifically exempt from the RCL and should be entered on the Budget, page 7, line 8(f).</t>
  </si>
  <si>
    <t xml:space="preserve">Districts receiving Impact Aid revenues only:
Include the amount from the most recent FY 2026 designated “Voucher for Impact Aid Section 8003 Payments,” “Total Payments Summary” line not including any section 8005(d)(2)-Late Applicant 10% Payment Reduction and any section 8007 construction amounts that would be included in Fund 699—Federal Impact Aid (Construction). Also, include any Section 8002 payments and any prior year Impact Aid payments expected to be received after the FY 2026 encumbrance period and recorded in FY 2027 revenues. </t>
  </si>
  <si>
    <t>Districts operating under a small school adjustment only:
This section applies to any district that operated under the provisions of the small school adjustment, in accordance with A.R.S. §15-949(A), and exceeded the allowable student counts in the current year. Districts may hold an override election as provided in A.R.S. §15-481. Select the checkbox to calculate the maximum amount the district may budget on Budget, page 7, line 3(a), subject to an override election. The calculated amount will be displayed in the appropriate section of the Calculations tab. 
For purposes of small school adjustment, the FY 2027 student count is the 2026 ADM. Districts that activate this checkbox must also complete line 22 below.</t>
  </si>
  <si>
    <t>Base Level Amount (FY27)</t>
  </si>
  <si>
    <t>Calculated Teachers Experience Index (FY26)</t>
  </si>
  <si>
    <t>Applied Teachers Experience Index (FY27)</t>
  </si>
  <si>
    <t xml:space="preserve">          Eligible Students Transported (FY26)</t>
  </si>
  <si>
    <t xml:space="preserve">          Daily Route Miles Per Eligible Student (FY26)</t>
  </si>
  <si>
    <t>Handicapped Extended School Year Mileage (FY26)</t>
  </si>
  <si>
    <t xml:space="preserve">     Districts (FY26)</t>
  </si>
  <si>
    <t>FY27 Transportation Support Level (TSL)</t>
  </si>
  <si>
    <t>FY27 Adjusted Base Support Level (BSL)</t>
  </si>
  <si>
    <t>FY27 Consolidation or Unification Assistance</t>
  </si>
  <si>
    <t>FY27 District Support Level (DSL)</t>
  </si>
  <si>
    <t>FY27 Transportation Revenue Control Limit (TRCL)</t>
  </si>
  <si>
    <t>FY27 Revenue Control Limit (RCL)</t>
  </si>
  <si>
    <t>FY27 Lesser of DSL/RCL</t>
  </si>
  <si>
    <t>FY26 Transportation Revenue Control Limit (TRCL)</t>
  </si>
  <si>
    <t>FY27 TSL</t>
  </si>
  <si>
    <t>FY26 TSL         -</t>
  </si>
  <si>
    <t>Preliminary FY27 TRCL</t>
  </si>
  <si>
    <t>120% of FY27 TRCL</t>
  </si>
  <si>
    <t>FY26 District ADM</t>
  </si>
  <si>
    <t>FY25 District ADM</t>
  </si>
  <si>
    <t>FY27 Calculated DAA Growth Factor</t>
  </si>
  <si>
    <t>FY27 Applied DAA Growth Factor</t>
  </si>
  <si>
    <t>FY26 District High School ADM</t>
  </si>
  <si>
    <t>FY27 Qualifying Levy</t>
  </si>
  <si>
    <t>FY27 Equalization Base</t>
  </si>
  <si>
    <t>FY27 Applied Qualifying Levy</t>
  </si>
  <si>
    <t>FY27 Equalization Assistance</t>
  </si>
  <si>
    <t>FY 2027 Student count (2025 ADM):   .001 - 99.999</t>
  </si>
  <si>
    <t>FY 2027 Student count (2025 ADM):   100.000 - 499.999</t>
  </si>
  <si>
    <t>FY 2027 Student count (2025 ADM):   500.000 - 599.999</t>
  </si>
  <si>
    <t>FY 2027 Student count (2025 ADM):   600.000 or more and career technical education districts</t>
  </si>
  <si>
    <t>General Budget Limit (GBL) (from FY 2026 latest revised budget, page 7, line 11)</t>
  </si>
  <si>
    <t>Adjustments to the GBL (from FY 2026 BUDG75, amount will be zero for budget adoption)</t>
  </si>
  <si>
    <t>FY 2026 M&amp;O Fund actual expenditures (from FY 2026 AFR, amount will be estimated for budget adoption)</t>
  </si>
  <si>
    <t>Note: For lines 10.a through 10.f the FY 2026 actual expenditures are deducted from the budget amount.  If the result is negative, zero is shown.</t>
  </si>
  <si>
    <t>FY 2026 Actual expenditures:</t>
  </si>
  <si>
    <t>Budget balance carryforward transferred to the School Opening Fund (not to exceed the lesser of line 11 or the FY 2026 M&amp;O Fund ending cash balance)</t>
  </si>
  <si>
    <t>M&amp;O Fund cash balance as of June 30, 2026</t>
  </si>
  <si>
    <t>10% of the FY 2027 RCL calculated using the district's 2026 ADM</t>
  </si>
  <si>
    <t>Up to 5% of the FY 2027 RCL calculated pursuant to A.R.S. section 15-482.B</t>
  </si>
  <si>
    <t>FY 2027 Impact Aid revenue</t>
  </si>
  <si>
    <t>Impact Aid revenue deposited in FY 2027 to the Impact Aid Revenue Bond Debt Service Fund for principal and interest payments</t>
  </si>
  <si>
    <t>Impact Aid revenue transferred in FY 2027 to the M&amp;O Fund to provide cash for the TRCL/TSL difference calculated on line 3</t>
  </si>
  <si>
    <t>Impact Aid revenue transferred in FY 2027 to the M&amp;O Fund to reduce or eliminate taxes</t>
  </si>
  <si>
    <t>FY 2026 Ending cash balance in the Impact Aid Fund</t>
  </si>
  <si>
    <t>FY 2027 Amount available to be spent in the Impact Aid Fund  (on page 6, Federal projects line 18)</t>
  </si>
  <si>
    <t>If in FY 2027, the K-8 student count is greater than 125 but less than 154, or the 9-12 student count is greater than 100 but less than 176, the district may continue to adopt a budget using a small school adjustment on page 7, line 4 of up to $50,000 without an election.  OR  If the district holds an override election as provided in A.R.S. Section 15-481, the district may include up to the amount calculated below on page 7, line 3(a). For purposes of small school adjustment, the FY 2027 student count is the 2026 ADM.</t>
  </si>
  <si>
    <t>FY 2027 K-8 student count</t>
  </si>
  <si>
    <t>FY 2027 Student count (line 1.b to left)</t>
  </si>
  <si>
    <t>FY 2027 Adjusted support level weight (to line 1.e)</t>
  </si>
  <si>
    <t>FY 2027 9-12 student count</t>
  </si>
  <si>
    <t>FY 2027 Student count (line 2.b to left)</t>
  </si>
  <si>
    <t>FY 2027 Adjusted support level weight (to line 2.e)</t>
  </si>
  <si>
    <t>If in FY 2027, the K-8 student count is greater than 125 but less than 181, or the 9-12 student count is greater than 100 but less than 185, the district may hold an override election as provided in A.R.S. Section 15-481. The maximum amount the district may budget on budget, page 7, line 3(a), subject to an override election, is the amount calculated below.  For purposes of small school adjustment, the FY 2027 student count is the 2026 ADM.</t>
  </si>
  <si>
    <t xml:space="preserve">FY 2025 100th-Day ADM </t>
  </si>
  <si>
    <t>FY 2026 100th-Day ADM</t>
  </si>
  <si>
    <t>FY 2027 Estimated non-AOI student count</t>
  </si>
  <si>
    <t>FY 2027 Estimated AOI full-time student count</t>
  </si>
  <si>
    <t>FY 2027 Estimated AOI part-time student count</t>
  </si>
  <si>
    <t>Total FY 2027 estimated student count</t>
  </si>
  <si>
    <t>Adjusted FY 2027 base level amount</t>
  </si>
  <si>
    <t>Actual Teacher Experience Index (TEI) from FY 2026 Teacher Experience Report (if actual TEI is less than 1.0000 use 1.0000) (A.R.S. Section 15-941)</t>
  </si>
  <si>
    <t>FY 2025 actual non-federal audit expenditures from all funds (A.R.S. Section 15-914.F)</t>
  </si>
  <si>
    <t>FY 2025 actual federal audit expenditures from all funds</t>
  </si>
  <si>
    <t>FY 2025 actual total audit expenditures from all funds (line 5 plus line 6)</t>
  </si>
  <si>
    <t>FY 2026 Approved daily route miles</t>
  </si>
  <si>
    <t>Number of eligible students transported in FY 2026</t>
  </si>
  <si>
    <t>FY 2026 Annual expenditure for bus tokens</t>
  </si>
  <si>
    <t>FY 2026 Annual expenditure for bus passes</t>
  </si>
  <si>
    <t>Actual route miles traveled in July and August 2025 to transport pupils w/disabilities for extended school year</t>
  </si>
  <si>
    <t>Estimated route miles traveled in June 2026 to transport pupils w/disabilities for extended school year</t>
  </si>
  <si>
    <t>2026 Primary net assessed valuation (AV)</t>
  </si>
  <si>
    <t>2026 Primary net assessed valuation (AV2)</t>
  </si>
  <si>
    <t>2026 Salt River Project (SRP) valuation</t>
  </si>
  <si>
    <t>2026 Government Property Lease Excise Tax assessed valuation</t>
  </si>
  <si>
    <t>Adjustments to the General Budget Limit (from FY 2026 BUDG75, leave blank for budget adoption)</t>
  </si>
  <si>
    <t>FY 2026 M&amp;O Fund actual expenditures (if any) for:</t>
  </si>
  <si>
    <t>Impact Aid revenue transferred in FY 2027 to the M&amp;O Fund to provide cash for the TRCL/TSL difference</t>
  </si>
  <si>
    <t>Maintenance &amp; Operation (M&amp;O) Fund FY 2026 ending cash balance</t>
  </si>
  <si>
    <t>This tab presents information on the amount and planned use of the District's fund balance to increase transparency and provide decision-makers, other stakeholders, and the public more complete financial information. Other than the FY 2025 ending fund balance amounts, all amounts included on this tab are estimates.</t>
  </si>
  <si>
    <t>A. Estimated FY 2026 fund balances and planned uses in FY 2027 and thereafter</t>
  </si>
  <si>
    <t>FY 2025 final ending fund balance</t>
  </si>
  <si>
    <t>If the final ending fund balance reported above does not agree with the submitted FY 2025 AFR, revise the AFR and resubmit to ADE.</t>
  </si>
  <si>
    <t>FY 2026 activity, year-to-date and estimated through June 30</t>
  </si>
  <si>
    <t>(a) FY 2026 revenues and other financing sources</t>
  </si>
  <si>
    <t>Estimated FY 2026 ending fund balance</t>
  </si>
  <si>
    <t>FY 2026 estimated ending fund balance details and planned uses</t>
  </si>
  <si>
    <t>FY 2027 Truth in Taxation Work Sheet (A.R.S. Section 15-905.01)</t>
  </si>
  <si>
    <t>FY 2027 Truth in Taxation base limit (from FY 2026 TNT work sheet, line 3 + line 11)</t>
  </si>
  <si>
    <t>Adjusted FY 2027 TNT base limit</t>
  </si>
  <si>
    <t>FY 2027 Budgeted expenditures</t>
  </si>
  <si>
    <t>Adjustments for FY 2026 expenditures</t>
  </si>
  <si>
    <t>FY 2026 Total actual expenditures for programs above</t>
  </si>
  <si>
    <t>Sum of FY 2026 original budget amounts for programs above (from FY 2026 TNT work sheet, sum of lines 4, 5, and 6)</t>
  </si>
  <si>
    <t>FY 2026 final budget for small school adjustment</t>
  </si>
  <si>
    <t>FY 2026 original budget for small school adjustment (from FY 2026 TNT work sheet, line 7)</t>
  </si>
  <si>
    <t>Amount to be levied in FY 2027 for Adjacent Way</t>
  </si>
  <si>
    <t>Amount to be levied in FY 2027 for liabilities in excess</t>
  </si>
  <si>
    <t>County for fiscal year 2027 was officially</t>
  </si>
  <si>
    <t>2025 ADM</t>
  </si>
  <si>
    <t>2026 ADM</t>
  </si>
  <si>
    <t>2027 ADM</t>
  </si>
  <si>
    <t>1. Average salary of all teachers employed in FY 2027 (budget year)</t>
  </si>
  <si>
    <t>2. Average salary of all teachers employed in FY 2026 (prior year)</t>
  </si>
  <si>
    <t>Maintained for spending after FY 2027 (budgeted carryforward)</t>
  </si>
  <si>
    <t>Calculation of FY 2027 Unrestricted Capital Budget Limit
(A.R.S. Section 15-947.D)</t>
  </si>
  <si>
    <t>FY 2026 Unrestricted Capital Budget Limit (UCBL)</t>
  </si>
  <si>
    <t xml:space="preserve">  (from FY 2026 latest revised Budget, page 8, line 12)</t>
  </si>
  <si>
    <t>Adjusted amount available for FY 2026 capital expenditures (line 1 + 2)</t>
  </si>
  <si>
    <t>FY 2026 Fund 610 actual expenditures  (for budget adoption use actual expenditures</t>
  </si>
  <si>
    <t>Interest earned in Fund 610 in FY 2026</t>
  </si>
  <si>
    <t>Adjustment to UCBL for FY 2027 (A.R.S. section 15-905.M) Include year(s) and descriptions, as applicable.</t>
  </si>
  <si>
    <t>FY 2027 Unrestricted Capital Budget Limit (lines 7 through 11) (1)</t>
  </si>
  <si>
    <t xml:space="preserve">FY 2027 Revenue Control Limit (RCL) </t>
  </si>
  <si>
    <t>Calculation of FY 2027 General Budget Limit</t>
  </si>
  <si>
    <t>FY 2027 district additional assistance (DAA)  (from BSA55 tab, page 4)</t>
  </si>
  <si>
    <t>FY 2027 override authorization (A.R.S. Sections 15-481 and 15-482 or 15-949 if small school adjustment phase down applies, see Calculations page, calculation of maximum override for a district no longer eligible for a small school adjustment, line 6 and calculation of small school adjustment phase down limit, line 6)</t>
  </si>
  <si>
    <t>FY 2025 (A.R.S. Section 15-910.M, as amended by Laws 2022, Ch. 285, §3)</t>
  </si>
  <si>
    <t>FY 2026 Performance pay unexpended budget carryforward (from Calculation page,</t>
  </si>
  <si>
    <t>FY 2027 General Budget Limit (column A, lines 1 through 9)</t>
  </si>
  <si>
    <t>FY 2027 Classroom Site Fund allocation, provided by ADE based on:</t>
  </si>
  <si>
    <t xml:space="preserve">     3300 Community services operations </t>
  </si>
  <si>
    <t>FY 2026 Classroom Site Fund budget limit (from FY 2026 latest revised budget, page 3, line 16)</t>
  </si>
  <si>
    <t>FY 2026 actual expenditures (for budget adoption use actual expenditures to date plus estimated expenditures through fiscal year-end.)</t>
  </si>
  <si>
    <t>Interest earned in the Classroom Site Fund in FY 2026</t>
  </si>
  <si>
    <t>Adjustments to FY 2027 Classroom Site Fund budget limit (1)</t>
  </si>
  <si>
    <t>FY 2027 Classroom Site Fund budget limit (Sum of lines 12 through 17) (2)</t>
  </si>
  <si>
    <t>FY 2027 performance pay (A.R.S. Section 15-920)</t>
  </si>
  <si>
    <t xml:space="preserve">Total budgeted revenues for fiscal year 2026                          $ </t>
  </si>
  <si>
    <t>Estimated revenues by source for fiscal year 2027 (excluding property taxes)</t>
  </si>
  <si>
    <t>We hereby certify that the Budget for the Fiscal Year 2027 was</t>
  </si>
  <si>
    <t>Prior FY 2026</t>
  </si>
  <si>
    <t>Est. Budget FY 2027</t>
  </si>
  <si>
    <t>The FY 2027 budget file for the version described above will be uploaded via</t>
  </si>
  <si>
    <t>Average salary of all teachers employed in FY 2027 (budget year)</t>
  </si>
  <si>
    <t>Average salary of all teachers employed in FY 2026 (prior year)</t>
  </si>
  <si>
    <t>(2) Amount budgeted on line 1 for the Adjacent Ways Fund that will result in a tax levy in FY 2027</t>
  </si>
  <si>
    <t xml:space="preserve"> FY 2027 Legislative amounts</t>
  </si>
  <si>
    <r>
      <t xml:space="preserve">0.5 mile or less  </t>
    </r>
    <r>
      <rPr>
        <b/>
        <sz val="9"/>
        <rFont val="Times New Roman"/>
        <family val="1"/>
      </rPr>
      <t>OR</t>
    </r>
    <r>
      <rPr>
        <sz val="9"/>
        <rFont val="Times New Roman"/>
        <family val="1"/>
      </rPr>
      <t xml:space="preserve">  more than 1.0 mile</t>
    </r>
  </si>
  <si>
    <t>Classroom Site Fund allocation (March 30, 2026, JLBC CSF estimates memorandum)</t>
  </si>
  <si>
    <t>Line 10 subtotals the FY 2027 UCO Fund budgeted expenditures included in lines 2 through 9. Report amounts the District estimates it will maintain for spending after FY 2027 (carryforward) in line 11.</t>
  </si>
  <si>
    <t>Budgeted expenditures related to monies remaining in Fund 080—Student Success Fund should be reported on line 34—Other, along with any other funds not included elsewhere in the budget.</t>
  </si>
  <si>
    <r>
      <t xml:space="preserve">Districts should not include amounts on this line for expenditures that are to be made from the Impact Aid Fund.
</t>
    </r>
    <r>
      <rPr>
        <b/>
        <sz val="14"/>
        <rFont val="Times New Roman"/>
        <family val="1"/>
      </rPr>
      <t>Budget Revision</t>
    </r>
    <r>
      <rPr>
        <sz val="14"/>
        <rFont val="Times New Roman"/>
        <family val="1"/>
      </rPr>
      <t xml:space="preserve">
If the June 30, 2026, actual cash balance for the M&amp;O Fund was incorrectly estimated, an accommodation school district must complete and submit a revised budget file, even if the amount recorded on line 7 of the adopted budget is not revised. If the June 30, 2026 actual cash balance for the M&amp;O Fund was accurate, accommodation schools may revise this file for other changes.
The Actual Budget Balance Carryforward displayed on Calculations tab, Calculation of M&amp;O Budget Balance Carryforward section, line 14.b should agree to the “Allowed Budget Balance Carry Forward” as reported on page 2 of the most recent FY 2026 BUDG75 Report. 
Record the district’s actual cash balance for the M&amp;O Fund at June 30, 2026, on Data Entry tab, Accommodation District Information section, line 2. Finally, districts should recalculate lines 3 and 4 based on the revised RCL on BSA55 tab, page 3.
Districts should compare the recalculated amount on line 15(e) of the Calculations tab to line 7 to determine whether the amount must be decreased or may be increased. </t>
    </r>
  </si>
  <si>
    <t>All districts must complete the Truth in Taxation Work Sheet to calculate the district’s truth in taxation base limit, to determine if a hearing is required, and to report the portion of the FY 2027 primary property tax rate related to each of the truth in taxation expenditure categories. Information from this Work Sheet is provided to the Department of Revenue, Property Tax Oversight Commission. If an amount on line 11, 12, or 13 is greater than zero, the district must publish a truth in taxation hearing notice and hold a hearing. The amounts calculated on lines A, B.2, and C.2 of the Work Sheet should be used, where indicated, on the sample truth in taxation hearing notice. Districts must submit the completed Work Sheet to ADE as part of the budget package and must notify ADE of any subsequent changes to the truth in taxation base limit. If a truth in taxation hearing is held, the Work Sheet must also be made available to the general public at the hearing. See Submission and Publication Instructions issued with the 2027 expenditure budget forms and A.R.S. §15-905.01 for further requirements.</t>
  </si>
  <si>
    <r>
      <t xml:space="preserve">G (Educational Programs for Gifted Pupils)
Districts may use ADE's GIFT20-summary ADM reports in AzEDS to estimate FY 2027 eligible student counts.
</t>
    </r>
    <r>
      <rPr>
        <b/>
        <sz val="14"/>
        <rFont val="Times New Roman"/>
        <family val="1"/>
      </rPr>
      <t>Budget Revision</t>
    </r>
    <r>
      <rPr>
        <sz val="14"/>
        <rFont val="Times New Roman"/>
        <family val="1"/>
      </rPr>
      <t xml:space="preserve">
ADE will provide budget year unweighted gifted ADM to districts for final budget revisions in the GIFT20 Report in AzEDs.</t>
    </r>
  </si>
  <si>
    <r>
      <t xml:space="preserve">For budget adoption, M&amp;O actual expenditures should be based upon the FY 2026 actual expenditures to date plus estimated expenditures for the remainder of the fiscal year including encumbrances.
</t>
    </r>
    <r>
      <rPr>
        <b/>
        <sz val="14"/>
        <rFont val="Times New Roman"/>
        <family val="1"/>
      </rPr>
      <t>Budget Revision</t>
    </r>
    <r>
      <rPr>
        <sz val="14"/>
        <rFont val="Times New Roman"/>
        <family val="1"/>
      </rPr>
      <t xml:space="preserve">
Enter actual total M&amp;O Fund expenditures, as reported on the district’s FY 2026 AFR.</t>
    </r>
  </si>
  <si>
    <t>FY 2026 Budget</t>
  </si>
  <si>
    <t>Base level amount (A.R.S. §15-901, includes 2.0% minimum required adjustment in JLBC's FY 2027 Baseline Budget Book)</t>
  </si>
  <si>
    <t>State support level per route mile (A.R.S. §15-945, includes 2.0% minimum required adjustment in JLBC's FY 2027 Baseline Budget Book)</t>
  </si>
  <si>
    <t>(b) FY 2026 expenditures and other financing uses</t>
  </si>
  <si>
    <t>(c) Planned to be spent in FY 2027</t>
  </si>
  <si>
    <t>(d) Maintained for spending after FY 2027</t>
  </si>
  <si>
    <r>
      <t xml:space="preserve">Report amounts the District estimates it will maintain for spending after FY 2027, including amounts reserved to manage cash flows in future budget years to cover such things as revenue shortfalls, emergencies, and/or other unforeseen circumstances.
</t>
    </r>
    <r>
      <rPr>
        <u/>
        <sz val="14"/>
        <rFont val="Times New Roman"/>
        <family val="1"/>
      </rPr>
      <t>For budget-controlled funds only</t>
    </r>
    <r>
      <rPr>
        <sz val="14"/>
        <rFont val="Times New Roman"/>
        <family val="1"/>
      </rPr>
      <t>, the amounts maintained for spending after FY 2027 on the Fund balances tab may agree to the budgeted carryforward amount on Pages 1, 3, and 4 depending on the District's circumstances. Districts must report the fund type for the UCO fund on the Data Entry tab.</t>
    </r>
  </si>
  <si>
    <t>(from FY 2026 latest revised budget, page 4, line 12)</t>
  </si>
  <si>
    <t>Total budget limit expenditures in Fund 610 in FY 2026</t>
  </si>
  <si>
    <t>Total budget limit expenditures in the M&amp;O Fund (from FY 2026 latest revised Budget, page 1, line 32, total budget year column)</t>
  </si>
  <si>
    <t>Qualifying tax rate for elementary or secondary (CTEDs use 0.05) (March 16, 2026, JLBC TNT rate memorandum)</t>
  </si>
  <si>
    <t>Pomerene Elementary School District</t>
  </si>
  <si>
    <t>Cochise</t>
  </si>
  <si>
    <t>020364000</t>
  </si>
  <si>
    <t>Proposed</t>
  </si>
  <si>
    <t>Michael Sherman</t>
  </si>
  <si>
    <t>Cheri Shull</t>
  </si>
  <si>
    <t>N/A</t>
  </si>
  <si>
    <t>Comments on average salary calculation (optional): Average salary of teachers do not inlcude CSF base pay.  FY27 we've hired 2 new teachers and had 2 retire.  One teacher had over 40 year of experience.</t>
  </si>
  <si>
    <t xml:space="preserve">Other _801_Type 03 taxes </t>
  </si>
  <si>
    <t>n/a</t>
  </si>
  <si>
    <t>Pomerene Elementary School</t>
  </si>
  <si>
    <t>Coshie</t>
  </si>
  <si>
    <t>520-586-2407</t>
  </si>
  <si>
    <t>Danna Judd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</si>
</sst>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3">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_)"/>
    <numFmt numFmtId="165" formatCode="0.0%"/>
    <numFmt numFmtId="166" formatCode="#,##0.000_);\(#,##0.000\)"/>
    <numFmt numFmtId="167" formatCode="#,##0.0_);\(#,##0.0\)"/>
    <numFmt numFmtId="168" formatCode="0_);\(0\)"/>
    <numFmt numFmtId="169" formatCode="#,##0.000"/>
    <numFmt numFmtId="170" formatCode="&quot;$&quot;#,##0"/>
    <numFmt numFmtId="171" formatCode="#,##0.0000_);[Red]\(#,##0.0000\)"/>
    <numFmt numFmtId="172" formatCode="#,##0.000_);[Red]\(#,##0.000\)"/>
    <numFmt numFmtId="173" formatCode="0.0000"/>
    <numFmt numFmtId="174" formatCode="#,##0.0000_);\(#,##0.0000\)"/>
    <numFmt numFmtId="175" formatCode="#,##0.0000"/>
    <numFmt numFmtId="176" formatCode="mmmm\ d\,\ yyyy"/>
    <numFmt numFmtId="177" formatCode="\(0E+00\);\(\-0E+00\)"/>
    <numFmt numFmtId="178" formatCode="0.000"/>
    <numFmt numFmtId="179" formatCode="_(&quot;$&quot;* #,##0_);_(&quot;$&quot;* \(#,##0\);_(&quot;$&quot;* &quot;-&quot;??_);_(@_)"/>
    <numFmt numFmtId="180" formatCode="[&lt;=9999999]###\-####;\(###\)\ ###\-####"/>
    <numFmt numFmtId="181" formatCode="&quot;$&quot;#,##0.00"/>
    <numFmt numFmtId="182" formatCode="0.0000_);[Red]\(0.0000\)"/>
    <numFmt numFmtId="183" formatCode="_(* #,##0_);_(* \(#,##0\);_(* &quot;-&quot;??_);_(@_)"/>
    <numFmt numFmtId="184" formatCode="_(&quot;$&quot;* #,##0.00_);_(&quot;$&quot;* \(#,##0.00\);_(&quot;$&quot;* &quot;-&quot;?????_);_(@_)"/>
    <numFmt numFmtId="185" formatCode="_(* #,##0.000000_);_(* \(#,##0.000000\);_(* &quot;-&quot;??_);_(@_)"/>
    <numFmt numFmtId="186" formatCode="0.0000000000%"/>
    <numFmt numFmtId="187" formatCode="#,##0.0000000000_);\(#,##0.0000000000\)"/>
    <numFmt numFmtId="188" formatCode="0.0000_);\(0.0000\)"/>
  </numFmts>
  <fonts count="125">
    <font>
      <sz val="12"/>
      <name val="Arial"/>
      <family val="2"/>
    </font>
    <font>
      <sz val="11"/>
      <color theme="1"/>
      <name val="Calibri"/>
      <family val="2"/>
      <scheme val="minor"/>
    </font>
    <font>
      <sz val="10"/>
      <name val="Arial"/>
      <family val="2"/>
    </font>
    <font>
      <sz val="11"/>
      <color theme="1"/>
      <name val="Calibri"/>
      <family val="2"/>
      <scheme val="minor"/>
    </font>
    <font>
      <sz val="12"/>
      <name val="Times New Roman"/>
      <family val="1"/>
    </font>
    <font>
      <sz val="10"/>
      <name val="Times New Roman"/>
      <family val="1"/>
    </font>
    <font>
      <sz val="11"/>
      <name val="Times New Roman"/>
      <family val="1"/>
    </font>
    <font>
      <sz val="8"/>
      <name val="Times New Roman"/>
      <family val="1"/>
    </font>
    <font>
      <b/>
      <sz val="12"/>
      <name val="Times New Roman"/>
      <family val="1"/>
    </font>
    <font>
      <sz val="9"/>
      <name val="Times New Roman"/>
      <family val="1"/>
    </font>
    <font>
      <b/>
      <sz val="10"/>
      <name val="Times New Roman"/>
      <family val="1"/>
    </font>
    <font>
      <b/>
      <sz val="9"/>
      <name val="Times New Roman"/>
      <family val="1"/>
    </font>
    <font>
      <sz val="10"/>
      <color indexed="12"/>
      <name val="Times New Roman"/>
      <family val="1"/>
    </font>
    <font>
      <sz val="9"/>
      <color indexed="8"/>
      <name val="Times New Roman"/>
      <family val="1"/>
    </font>
    <font>
      <b/>
      <sz val="8"/>
      <color indexed="8"/>
      <name val="Times New Roman"/>
      <family val="1"/>
    </font>
    <font>
      <sz val="8"/>
      <color indexed="8"/>
      <name val="Times New Roman"/>
      <family val="1"/>
    </font>
    <font>
      <b/>
      <sz val="8"/>
      <name val="Times New Roman"/>
      <family val="1"/>
    </font>
    <font>
      <sz val="4"/>
      <name val="Times New Roman"/>
      <family val="1"/>
    </font>
    <font>
      <b/>
      <sz val="18"/>
      <name val="Times New Roman"/>
      <family val="1"/>
    </font>
    <font>
      <sz val="9"/>
      <name val="Arial MT"/>
      <family val="2"/>
    </font>
    <font>
      <sz val="12"/>
      <name val="Arial MT"/>
      <family val="2"/>
    </font>
    <font>
      <sz val="8"/>
      <name val="Arial MT"/>
      <family val="2"/>
    </font>
    <font>
      <b/>
      <sz val="8"/>
      <color indexed="8"/>
      <name val="Arial"/>
      <family val="2"/>
    </font>
    <font>
      <b/>
      <sz val="9"/>
      <color indexed="8"/>
      <name val="Times New Roman"/>
      <family val="1"/>
    </font>
    <font>
      <u/>
      <sz val="9"/>
      <color indexed="8"/>
      <name val="Times New Roman"/>
      <family val="1"/>
    </font>
    <font>
      <sz val="10"/>
      <color indexed="8"/>
      <name val="Times New Roman"/>
      <family val="1"/>
    </font>
    <font>
      <sz val="9"/>
      <name val="Arial"/>
      <family val="2"/>
    </font>
    <font>
      <sz val="11"/>
      <name val="Arial"/>
      <family val="2"/>
    </font>
    <font>
      <u/>
      <sz val="9"/>
      <color indexed="12"/>
      <name val="Arial"/>
      <family val="2"/>
    </font>
    <font>
      <b/>
      <vertAlign val="superscript"/>
      <sz val="8"/>
      <color indexed="8"/>
      <name val="Times New Roman"/>
      <family val="1"/>
    </font>
    <font>
      <sz val="8"/>
      <name val="Arial"/>
      <family val="2"/>
    </font>
    <font>
      <b/>
      <sz val="10"/>
      <color indexed="8"/>
      <name val="Times New Roman"/>
      <family val="1"/>
    </font>
    <font>
      <u/>
      <sz val="9"/>
      <color indexed="12"/>
      <name val="Times New Roman"/>
      <family val="1"/>
    </font>
    <font>
      <b/>
      <sz val="12"/>
      <name val="Arial"/>
      <family val="2"/>
    </font>
    <font>
      <sz val="12"/>
      <color indexed="8"/>
      <name val="Times New Roman"/>
      <family val="1"/>
    </font>
    <font>
      <sz val="12"/>
      <color indexed="9"/>
      <name val="Times New Roman"/>
      <family val="1"/>
    </font>
    <font>
      <sz val="10"/>
      <name val="Arial MT"/>
      <family val="2"/>
    </font>
    <font>
      <sz val="9"/>
      <color indexed="12"/>
      <name val="Times New Roman"/>
      <family val="1"/>
    </font>
    <font>
      <b/>
      <sz val="10"/>
      <color indexed="12"/>
      <name val="Times New Roman"/>
      <family val="1"/>
    </font>
    <font>
      <sz val="8"/>
      <color indexed="12"/>
      <name val="Times New Roman"/>
      <family val="1"/>
    </font>
    <font>
      <sz val="14"/>
      <name val="Times New Roman"/>
      <family val="1"/>
    </font>
    <font>
      <b/>
      <sz val="14"/>
      <name val="Times New Roman"/>
      <family val="1"/>
    </font>
    <font>
      <u/>
      <sz val="14"/>
      <name val="Times New Roman"/>
      <family val="1"/>
    </font>
    <font>
      <i/>
      <sz val="10"/>
      <name val="Times New Roman"/>
      <family val="1"/>
    </font>
    <font>
      <sz val="14"/>
      <name val="Franklin Gothic Medium"/>
      <family val="2"/>
    </font>
    <font>
      <b/>
      <sz val="8"/>
      <color indexed="12"/>
      <name val="Times New Roman"/>
      <family val="1"/>
    </font>
    <font>
      <b/>
      <u/>
      <sz val="9"/>
      <color indexed="12"/>
      <name val="Times New Roman"/>
      <family val="1"/>
    </font>
    <font>
      <u/>
      <sz val="10"/>
      <name val="Times New Roman"/>
      <family val="1"/>
    </font>
    <font>
      <sz val="10"/>
      <name val="Calibri"/>
      <family val="2"/>
    </font>
    <font>
      <u/>
      <sz val="9"/>
      <name val="Times New Roman"/>
      <family val="1"/>
    </font>
    <font>
      <strike/>
      <sz val="14"/>
      <name val="Times New Roman"/>
      <family val="1"/>
    </font>
    <font>
      <i/>
      <sz val="8"/>
      <name val="Times New Roman"/>
      <family val="1"/>
    </font>
    <font>
      <b/>
      <sz val="11"/>
      <name val="Times New Roman"/>
      <family val="1"/>
    </font>
    <font>
      <sz val="11"/>
      <name val="Calibri"/>
      <family val="2"/>
    </font>
    <font>
      <b/>
      <sz val="12"/>
      <color indexed="8"/>
      <name val="Times New Roman"/>
      <family val="1"/>
    </font>
    <font>
      <strike/>
      <sz val="12"/>
      <name val="Times New Roman"/>
      <family val="1"/>
    </font>
    <font>
      <strike/>
      <sz val="9"/>
      <name val="Times New Roman"/>
      <family val="1"/>
    </font>
    <font>
      <strike/>
      <sz val="9"/>
      <color indexed="12"/>
      <name val="Times New Roman"/>
      <family val="1"/>
    </font>
    <font>
      <b/>
      <u/>
      <sz val="8"/>
      <name val="Times New Roman"/>
      <family val="1"/>
    </font>
    <font>
      <i/>
      <sz val="9"/>
      <name val="Times New Roman"/>
      <family val="1"/>
    </font>
    <font>
      <sz val="12"/>
      <color theme="0"/>
      <name val="Times New Roman"/>
      <family val="1"/>
    </font>
    <font>
      <sz val="8"/>
      <color theme="1"/>
      <name val="Times New Roman"/>
      <family val="1"/>
    </font>
    <font>
      <b/>
      <sz val="12"/>
      <color rgb="FFFF0000"/>
      <name val="Times New Roman"/>
      <family val="1"/>
    </font>
    <font>
      <sz val="9"/>
      <color theme="1"/>
      <name val="Times New Roman"/>
      <family val="1"/>
    </font>
    <font>
      <sz val="10"/>
      <color theme="1"/>
      <name val="Times New Roman"/>
      <family val="1"/>
    </font>
    <font>
      <sz val="20"/>
      <color rgb="FFC00000"/>
      <name val="Times New Roman"/>
      <family val="1"/>
    </font>
    <font>
      <b/>
      <sz val="10"/>
      <color rgb="FF0000FF"/>
      <name val="Times New Roman"/>
      <family val="1"/>
    </font>
    <font>
      <b/>
      <sz val="10"/>
      <color rgb="FFFF0000"/>
      <name val="Arial"/>
      <family val="2"/>
    </font>
    <font>
      <sz val="12"/>
      <color theme="0"/>
      <name val="Arial"/>
      <family val="2"/>
    </font>
    <font>
      <b/>
      <sz val="9"/>
      <color rgb="FFFF0000"/>
      <name val="Arial"/>
      <family val="2"/>
    </font>
    <font>
      <sz val="9"/>
      <color theme="0"/>
      <name val="Times New Roman"/>
      <family val="1"/>
    </font>
    <font>
      <sz val="11"/>
      <color theme="0"/>
      <name val="Times New Roman"/>
      <family val="1"/>
    </font>
    <font>
      <u/>
      <sz val="9"/>
      <color rgb="FF0000FF"/>
      <name val="Times New Roman"/>
      <family val="1"/>
    </font>
    <font>
      <b/>
      <sz val="8"/>
      <color theme="0"/>
      <name val="Times New Roman"/>
      <family val="1"/>
    </font>
    <font>
      <sz val="9"/>
      <color rgb="FFFF0000"/>
      <name val="Times New Roman"/>
      <family val="1"/>
    </font>
    <font>
      <sz val="9"/>
      <color rgb="FF3333FF"/>
      <name val="Times New Roman"/>
      <family val="1"/>
    </font>
    <font>
      <b/>
      <sz val="8"/>
      <color theme="1"/>
      <name val="Times New Roman"/>
      <family val="1"/>
    </font>
    <font>
      <b/>
      <sz val="12"/>
      <color theme="1"/>
      <name val="Times New Roman"/>
      <family val="1"/>
    </font>
    <font>
      <sz val="12"/>
      <color rgb="FFFF0000"/>
      <name val="Arial"/>
      <family val="2"/>
    </font>
    <font>
      <b/>
      <sz val="8"/>
      <color rgb="FFFF0000"/>
      <name val="Times New Roman"/>
      <family val="1"/>
    </font>
    <font>
      <sz val="8"/>
      <color rgb="FFFF0000"/>
      <name val="Times New Roman"/>
      <family val="1"/>
    </font>
    <font>
      <strike/>
      <sz val="10"/>
      <color rgb="FFFF0000"/>
      <name val="Arial"/>
      <family val="2"/>
    </font>
    <font>
      <strike/>
      <sz val="9"/>
      <color rgb="FFFF0000"/>
      <name val="Times New Roman"/>
      <family val="1"/>
    </font>
    <font>
      <sz val="10"/>
      <color rgb="FFFF0000"/>
      <name val="Times New Roman"/>
      <family val="1"/>
    </font>
    <font>
      <strike/>
      <sz val="10"/>
      <color rgb="FFFF0000"/>
      <name val="Times New Roman"/>
      <family val="1"/>
    </font>
    <font>
      <sz val="12"/>
      <color theme="1"/>
      <name val="Times New Roman"/>
      <family val="1"/>
    </font>
    <font>
      <sz val="8"/>
      <color theme="0"/>
      <name val="Times New Roman"/>
      <family val="1"/>
    </font>
    <font>
      <sz val="9"/>
      <color theme="0"/>
      <name val="Arial MT"/>
      <family val="2"/>
    </font>
    <font>
      <b/>
      <sz val="14"/>
      <color rgb="FFFF0000"/>
      <name val="Arial"/>
      <family val="2"/>
    </font>
    <font>
      <b/>
      <sz val="10"/>
      <color theme="1"/>
      <name val="Times New Roman"/>
      <family val="1"/>
    </font>
    <font>
      <b/>
      <sz val="9"/>
      <color rgb="FFFF0000"/>
      <name val="Arial MT"/>
      <family val="2"/>
    </font>
    <font>
      <sz val="12"/>
      <color theme="1"/>
      <name val="Arial"/>
      <family val="2"/>
    </font>
    <font>
      <b/>
      <sz val="14"/>
      <color rgb="FFC00000"/>
      <name val="Times New Roman"/>
      <family val="1"/>
    </font>
    <font>
      <b/>
      <sz val="8"/>
      <color rgb="FFFF0000"/>
      <name val="Arial MT"/>
      <family val="2"/>
    </font>
    <font>
      <b/>
      <sz val="13"/>
      <color rgb="FFFF0000"/>
      <name val="Times New Roman"/>
      <family val="1"/>
    </font>
    <font>
      <b/>
      <sz val="14"/>
      <color rgb="FFFF0000"/>
      <name val="Times New Roman"/>
      <family val="1"/>
    </font>
    <font>
      <sz val="5"/>
      <name val="Times New Roman"/>
      <family val="1"/>
    </font>
    <font>
      <b/>
      <sz val="9"/>
      <color rgb="FFFF0000"/>
      <name val="Times New Roman"/>
      <family val="1"/>
    </font>
    <font>
      <b/>
      <sz val="10"/>
      <color rgb="FFFF0000"/>
      <name val="Times New Roman"/>
      <family val="1"/>
    </font>
    <font>
      <b/>
      <strike/>
      <sz val="10"/>
      <color rgb="FFFF0000"/>
      <name val="Times New Roman"/>
      <family val="1"/>
    </font>
    <font>
      <strike/>
      <sz val="14"/>
      <color rgb="FFFF0000"/>
      <name val="Times New Roman"/>
      <family val="1"/>
    </font>
    <font>
      <u/>
      <sz val="14"/>
      <color theme="1"/>
      <name val="Times New Roman"/>
      <family val="1"/>
    </font>
    <font>
      <b/>
      <sz val="10"/>
      <color rgb="FF000000"/>
      <name val="Times New Roman"/>
      <family val="1"/>
    </font>
    <font>
      <b/>
      <u/>
      <sz val="10"/>
      <color indexed="8"/>
      <name val="Times New Roman"/>
      <family val="1"/>
    </font>
    <font>
      <sz val="10"/>
      <color theme="0"/>
      <name val="Times New Roman"/>
      <family val="1"/>
    </font>
    <font>
      <sz val="10"/>
      <color rgb="FF0000FF"/>
      <name val="Times New Roman"/>
      <family val="1"/>
    </font>
    <font>
      <sz val="14"/>
      <color theme="1"/>
      <name val="Times New Roman"/>
      <family val="1"/>
    </font>
    <font>
      <b/>
      <sz val="14"/>
      <color theme="1"/>
      <name val="Times New Roman"/>
      <family val="1"/>
    </font>
    <font>
      <sz val="11"/>
      <color rgb="FFFF0000"/>
      <name val="Times New Roman"/>
      <family val="1"/>
    </font>
    <font>
      <sz val="11"/>
      <color rgb="FFFF0000"/>
      <name val="Arial"/>
      <family val="2"/>
    </font>
    <font>
      <sz val="12"/>
      <color rgb="FFFF0000"/>
      <name val="Times New Roman"/>
      <family val="1"/>
    </font>
    <font>
      <u/>
      <sz val="10"/>
      <color indexed="12"/>
      <name val="Arial"/>
      <family val="2"/>
    </font>
    <font>
      <u/>
      <sz val="10"/>
      <color theme="10"/>
      <name val="Arial"/>
      <family val="2"/>
    </font>
    <font>
      <sz val="9"/>
      <color rgb="FF0000FF"/>
      <name val="Times New Roman"/>
      <family val="1"/>
    </font>
    <font>
      <strike/>
      <sz val="9"/>
      <color rgb="FFFF0000"/>
      <name val="Arial"/>
      <family val="2"/>
    </font>
    <font>
      <b/>
      <sz val="9"/>
      <color indexed="12"/>
      <name val="Times New Roman"/>
      <family val="1"/>
    </font>
    <font>
      <b/>
      <u/>
      <sz val="8"/>
      <color indexed="12"/>
      <name val="Times New Roman"/>
      <family val="1"/>
    </font>
    <font>
      <sz val="9"/>
      <color theme="1"/>
      <name val="Arial MT"/>
      <family val="2"/>
    </font>
    <font>
      <sz val="12"/>
      <name val="Arial"/>
      <family val="2"/>
    </font>
    <font>
      <sz val="14"/>
      <color rgb="FFFF0000"/>
      <name val="Times New Roman"/>
      <family val="1"/>
    </font>
    <font>
      <strike/>
      <sz val="9"/>
      <color theme="1"/>
      <name val="Cambria"/>
      <family val="1"/>
    </font>
    <font>
      <strike/>
      <sz val="12"/>
      <name val="Cambria"/>
      <family val="1"/>
    </font>
    <font>
      <sz val="14"/>
      <color rgb="FF000000"/>
      <name val="Times New Roman"/>
      <family val="1"/>
    </font>
    <font>
      <sz val="14"/>
      <color indexed="12"/>
      <name val="Times New Roman"/>
      <family val="1"/>
    </font>
    <font>
      <sz val="9"/>
      <name val="Cambria"/>
      <family val="1"/>
    </font>
  </fonts>
  <fills count="21">
    <fill>
      <patternFill patternType="none"/>
    </fill>
    <fill>
      <patternFill patternType="gray125"/>
    </fill>
    <fill>
      <patternFill patternType="solid">
        <fgColor indexed="9"/>
        <bgColor indexed="64"/>
      </patternFill>
    </fill>
    <fill>
      <patternFill patternType="solid">
        <fgColor theme="9" tint="0.79985961485641044"/>
        <bgColor indexed="64"/>
      </patternFill>
    </fill>
    <fill>
      <patternFill patternType="solid">
        <fgColor theme="9" tint="0.79985961485641044"/>
        <bgColor indexed="64"/>
      </patternFill>
    </fill>
    <fill>
      <patternFill patternType="solid">
        <fgColor rgb="FFCCFFFF"/>
        <bgColor indexed="64"/>
      </patternFill>
    </fill>
    <fill>
      <patternFill patternType="solid">
        <fgColor theme="0"/>
        <bgColor indexed="64"/>
      </patternFill>
    </fill>
    <fill>
      <patternFill patternType="solid">
        <fgColor indexed="55"/>
        <bgColor indexed="64"/>
      </patternFill>
    </fill>
    <fill>
      <patternFill patternType="solid">
        <fgColor rgb="FF969696"/>
        <bgColor indexed="64"/>
      </patternFill>
    </fill>
    <fill>
      <patternFill patternType="solid">
        <fgColor rgb="FFFFFFCC"/>
        <bgColor indexed="64"/>
      </patternFill>
    </fill>
    <fill>
      <patternFill patternType="solid">
        <fgColor theme="0" tint="-0.49980162968840602"/>
        <bgColor indexed="64"/>
      </patternFill>
    </fill>
    <fill>
      <patternFill patternType="solid">
        <fgColor theme="0" tint="-0.14981536301767021"/>
        <bgColor indexed="64"/>
      </patternFill>
    </fill>
    <fill>
      <patternFill patternType="solid">
        <fgColor rgb="FFFDE9D9"/>
        <bgColor indexed="64"/>
      </patternFill>
    </fill>
    <fill>
      <patternFill patternType="solid">
        <fgColor theme="9" tint="0.79989013336588644"/>
        <bgColor indexed="64"/>
      </patternFill>
    </fill>
    <fill>
      <patternFill patternType="solid">
        <fgColor theme="0" tint="-0.14990691854609822"/>
        <bgColor indexed="64"/>
      </patternFill>
    </fill>
    <fill>
      <patternFill patternType="solid">
        <fgColor theme="0" tint="-0.49992370372631001"/>
        <bgColor indexed="64"/>
      </patternFill>
    </fill>
    <fill>
      <patternFill patternType="solid">
        <fgColor theme="1" tint="0.49992370372631001"/>
        <bgColor indexed="64"/>
      </patternFill>
    </fill>
    <fill>
      <patternFill patternType="solid">
        <fgColor rgb="FFD9D9D9"/>
        <bgColor indexed="64"/>
      </patternFill>
    </fill>
    <fill>
      <patternFill patternType="solid">
        <fgColor theme="0" tint="-0.1498458815271462"/>
        <bgColor indexed="64"/>
      </patternFill>
    </fill>
    <fill>
      <patternFill patternType="solid">
        <fgColor theme="9" tint="0.79998168889431442"/>
        <bgColor indexed="64"/>
      </patternFill>
    </fill>
    <fill>
      <patternFill patternType="solid">
        <fgColor rgb="FFF2DCDB"/>
        <bgColor indexed="64"/>
      </patternFill>
    </fill>
  </fills>
  <borders count="109">
    <border>
      <left/>
      <right/>
      <top/>
      <bottom/>
      <diagonal/>
    </border>
    <border>
      <left/>
      <right/>
      <top style="thin">
        <color indexed="8"/>
      </top>
      <bottom/>
      <diagonal/>
    </border>
    <border>
      <left/>
      <right style="thin">
        <color indexed="8"/>
      </right>
      <top/>
      <bottom/>
      <diagonal/>
    </border>
    <border>
      <left style="thin">
        <color indexed="8"/>
      </left>
      <right style="thin">
        <color indexed="8"/>
      </right>
      <top style="thin">
        <color indexed="8"/>
      </top>
      <bottom style="thin">
        <color indexed="8"/>
      </bottom>
      <diagonal/>
    </border>
    <border>
      <left/>
      <right/>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bottom style="medium">
        <color indexed="8"/>
      </bottom>
      <diagonal/>
    </border>
    <border>
      <left/>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indexed="8"/>
      </right>
      <top/>
      <bottom style="thin">
        <color auto="1"/>
      </bottom>
      <diagonal/>
    </border>
    <border>
      <left/>
      <right/>
      <top style="thin">
        <color indexed="8"/>
      </top>
      <bottom style="thin">
        <color auto="1"/>
      </bottom>
      <diagonal/>
    </border>
    <border>
      <left style="thin">
        <color indexed="8"/>
      </left>
      <right style="thin">
        <color auto="1"/>
      </right>
      <top/>
      <bottom style="thin">
        <color indexed="8"/>
      </bottom>
      <diagonal/>
    </border>
    <border>
      <left/>
      <right/>
      <top style="thin">
        <color theme="1"/>
      </top>
      <bottom style="thin">
        <color theme="1"/>
      </bottom>
      <diagonal/>
    </border>
    <border>
      <left style="thin">
        <color indexed="8"/>
      </left>
      <right style="thin">
        <color indexed="8"/>
      </right>
      <top style="thin">
        <color indexed="8"/>
      </top>
      <bottom/>
      <diagonal/>
    </border>
    <border>
      <left style="thin">
        <color indexed="8"/>
      </left>
      <right/>
      <top/>
      <bottom style="thin">
        <color indexed="8"/>
      </bottom>
      <diagonal/>
    </border>
    <border>
      <left style="thin">
        <color auto="1"/>
      </left>
      <right style="thin">
        <color auto="1"/>
      </right>
      <top/>
      <bottom style="thin">
        <color auto="1"/>
      </bottom>
      <diagonal/>
    </border>
    <border>
      <left style="thin">
        <color indexed="8"/>
      </left>
      <right style="thin">
        <color indexed="8"/>
      </right>
      <top style="medium">
        <color indexed="8"/>
      </top>
      <bottom/>
      <diagonal/>
    </border>
    <border>
      <left/>
      <right style="thin">
        <color auto="1"/>
      </right>
      <top style="thin">
        <color auto="1"/>
      </top>
      <bottom style="thin">
        <color auto="1"/>
      </bottom>
      <diagonal/>
    </border>
    <border>
      <left/>
      <right/>
      <top style="thin">
        <color auto="1"/>
      </top>
      <bottom/>
      <diagonal/>
    </border>
    <border>
      <left style="medium">
        <color auto="1"/>
      </left>
      <right style="medium">
        <color auto="1"/>
      </right>
      <top style="medium">
        <color auto="1"/>
      </top>
      <bottom style="medium">
        <color auto="1"/>
      </bottom>
      <diagonal/>
    </border>
    <border>
      <left style="thin">
        <color auto="1"/>
      </left>
      <right/>
      <top style="thin">
        <color auto="1"/>
      </top>
      <bottom style="thin">
        <color auto="1"/>
      </bottom>
      <diagonal/>
    </border>
    <border>
      <left/>
      <right style="thin">
        <color indexed="8"/>
      </right>
      <top style="thin">
        <color indexed="8"/>
      </top>
      <bottom style="thin">
        <color indexed="8"/>
      </bottom>
      <diagonal/>
    </border>
    <border>
      <left style="thin">
        <color auto="1"/>
      </left>
      <right style="thin">
        <color auto="1"/>
      </right>
      <top style="thin">
        <color auto="1"/>
      </top>
      <bottom/>
      <diagonal/>
    </border>
    <border>
      <left style="thin">
        <color theme="1"/>
      </left>
      <right style="thin">
        <color indexed="8"/>
      </right>
      <top style="thin">
        <color indexed="8"/>
      </top>
      <bottom style="thin">
        <color indexed="8"/>
      </bottom>
      <diagonal/>
    </border>
    <border>
      <left style="thin">
        <color indexed="8"/>
      </left>
      <right/>
      <top/>
      <bottom/>
      <diagonal/>
    </border>
    <border>
      <left/>
      <right/>
      <top/>
      <bottom style="double">
        <color indexed="8"/>
      </bottom>
      <diagonal/>
    </border>
    <border>
      <left style="thin">
        <color indexed="8"/>
      </left>
      <right style="thin">
        <color indexed="8"/>
      </right>
      <top/>
      <bottom style="double">
        <color indexed="8"/>
      </bottom>
      <diagonal/>
    </border>
    <border>
      <left style="thin">
        <color auto="1"/>
      </left>
      <right/>
      <top/>
      <bottom/>
      <diagonal/>
    </border>
    <border>
      <left/>
      <right style="thin">
        <color theme="1"/>
      </right>
      <top/>
      <bottom/>
      <diagonal/>
    </border>
    <border>
      <left style="thin">
        <color indexed="8"/>
      </left>
      <right/>
      <top style="thin">
        <color indexed="8"/>
      </top>
      <bottom/>
      <diagonal/>
    </border>
    <border>
      <left style="thin">
        <color indexed="8"/>
      </left>
      <right style="thin">
        <color indexed="8"/>
      </right>
      <top/>
      <bottom/>
      <diagonal/>
    </border>
    <border>
      <left/>
      <right style="thin">
        <color indexed="8"/>
      </right>
      <top style="thin">
        <color indexed="8"/>
      </top>
      <bottom/>
      <diagonal/>
    </border>
    <border>
      <left/>
      <right style="thin">
        <color indexed="8"/>
      </right>
      <top/>
      <bottom style="thin">
        <color indexed="8"/>
      </bottom>
      <diagonal/>
    </border>
    <border>
      <left/>
      <right style="thin">
        <color auto="1"/>
      </right>
      <top style="thin">
        <color auto="1"/>
      </top>
      <bottom/>
      <diagonal/>
    </border>
    <border>
      <left style="thin">
        <color auto="1"/>
      </left>
      <right style="thin">
        <color auto="1"/>
      </right>
      <top style="thin">
        <color indexed="8"/>
      </top>
      <bottom/>
      <diagonal/>
    </border>
    <border>
      <left/>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auto="1"/>
      </right>
      <top style="thin">
        <color indexed="8"/>
      </top>
      <bottom/>
      <diagonal/>
    </border>
    <border>
      <left style="thin">
        <color indexed="8"/>
      </left>
      <right style="thin">
        <color auto="1"/>
      </right>
      <top style="thin">
        <color auto="1"/>
      </top>
      <bottom style="thin">
        <color auto="1"/>
      </bottom>
      <diagonal/>
    </border>
    <border>
      <left style="thin">
        <color indexed="8"/>
      </left>
      <right style="thin">
        <color auto="1"/>
      </right>
      <top style="thin">
        <color auto="1"/>
      </top>
      <bottom/>
      <diagonal/>
    </border>
    <border>
      <left/>
      <right/>
      <top style="thin">
        <color auto="1"/>
      </top>
      <bottom style="thin">
        <color indexed="8"/>
      </bottom>
      <diagonal/>
    </border>
    <border>
      <left style="thin">
        <color indexed="8"/>
      </left>
      <right style="thin">
        <color indexed="8"/>
      </right>
      <top style="medium">
        <color indexed="8"/>
      </top>
      <bottom style="double">
        <color indexed="8"/>
      </bottom>
      <diagonal/>
    </border>
    <border>
      <left/>
      <right/>
      <top/>
      <bottom style="double">
        <color auto="1"/>
      </bottom>
      <diagonal/>
    </border>
    <border>
      <left/>
      <right/>
      <top/>
      <bottom style="thin">
        <color theme="1"/>
      </bottom>
      <diagonal/>
    </border>
    <border>
      <left style="thin">
        <color auto="1"/>
      </left>
      <right/>
      <top style="thin">
        <color auto="1"/>
      </top>
      <bottom/>
      <diagonal/>
    </border>
    <border>
      <left/>
      <right style="thin">
        <color auto="1"/>
      </right>
      <top/>
      <bottom style="thin">
        <color indexed="8"/>
      </bottom>
      <diagonal/>
    </border>
    <border>
      <left style="thin">
        <color indexed="8"/>
      </left>
      <right style="thin">
        <color indexed="8"/>
      </right>
      <top style="thin">
        <color auto="1"/>
      </top>
      <bottom/>
      <diagonal/>
    </border>
    <border>
      <left/>
      <right style="thin">
        <color auto="1"/>
      </right>
      <top/>
      <bottom/>
      <diagonal/>
    </border>
    <border>
      <left style="thin">
        <color indexed="8"/>
      </left>
      <right style="thin">
        <color auto="1"/>
      </right>
      <top style="thin">
        <color indexed="8"/>
      </top>
      <bottom style="thin">
        <color indexed="8"/>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indexed="8"/>
      </right>
      <top style="thin">
        <color auto="1"/>
      </top>
      <bottom/>
      <diagonal/>
    </border>
    <border>
      <left style="thin">
        <color auto="1"/>
      </left>
      <right style="thin">
        <color indexed="8"/>
      </right>
      <top/>
      <bottom/>
      <diagonal/>
    </border>
    <border>
      <left style="thin">
        <color indexed="8"/>
      </left>
      <right style="thin">
        <color indexed="8"/>
      </right>
      <top/>
      <bottom style="thin">
        <color auto="1"/>
      </bottom>
      <diagonal/>
    </border>
    <border>
      <left style="thin">
        <color auto="1"/>
      </left>
      <right style="thin">
        <color auto="1"/>
      </right>
      <top/>
      <bottom/>
      <diagonal/>
    </border>
    <border>
      <left style="thin">
        <color auto="1"/>
      </left>
      <right style="thin">
        <color auto="1"/>
      </right>
      <top style="thin">
        <color indexed="8"/>
      </top>
      <bottom style="thin">
        <color auto="1"/>
      </bottom>
      <diagonal/>
    </border>
    <border>
      <left style="thin">
        <color indexed="8"/>
      </left>
      <right style="thin">
        <color indexed="8"/>
      </right>
      <top style="thin">
        <color auto="1"/>
      </top>
      <bottom style="thin">
        <color auto="1"/>
      </bottom>
      <diagonal/>
    </border>
    <border>
      <left style="thin">
        <color indexed="8"/>
      </left>
      <right style="thin">
        <color indexed="8"/>
      </right>
      <top style="medium">
        <color auto="1"/>
      </top>
      <bottom style="thin">
        <color indexed="8"/>
      </bottom>
      <diagonal/>
    </border>
    <border>
      <left/>
      <right/>
      <top style="medium">
        <color auto="1"/>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bottom style="medium">
        <color auto="1"/>
      </bottom>
      <diagonal/>
    </border>
    <border>
      <left/>
      <right style="thin">
        <color auto="1"/>
      </right>
      <top/>
      <bottom style="medium">
        <color auto="1"/>
      </bottom>
      <diagonal/>
    </border>
    <border>
      <left style="thin">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top style="medium">
        <color auto="1"/>
      </top>
      <bottom/>
      <diagonal/>
    </border>
    <border>
      <left style="thin">
        <color auto="1"/>
      </left>
      <right/>
      <top style="thin">
        <color auto="1"/>
      </top>
      <bottom style="double">
        <color auto="1"/>
      </bottom>
      <diagonal/>
    </border>
    <border>
      <left/>
      <right style="thin">
        <color auto="1"/>
      </right>
      <top style="thin">
        <color auto="1"/>
      </top>
      <bottom style="double">
        <color auto="1"/>
      </bottom>
      <diagonal/>
    </border>
    <border>
      <left/>
      <right style="medium">
        <color auto="1"/>
      </right>
      <top style="medium">
        <color auto="1"/>
      </top>
      <bottom/>
      <diagonal/>
    </border>
    <border>
      <left style="medium">
        <color auto="1"/>
      </left>
      <right/>
      <top style="medium">
        <color auto="1"/>
      </top>
      <bottom/>
      <diagonal/>
    </border>
    <border>
      <left/>
      <right style="medium">
        <color auto="1"/>
      </right>
      <top/>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indexed="8"/>
      </left>
      <right style="thin">
        <color auto="1"/>
      </right>
      <top/>
      <bottom style="thin">
        <color auto="1"/>
      </bottom>
      <diagonal/>
    </border>
    <border>
      <left style="thin">
        <color auto="1"/>
      </left>
      <right style="thin">
        <color auto="1"/>
      </right>
      <top style="thin">
        <color auto="1"/>
      </top>
      <bottom style="double">
        <color auto="1"/>
      </bottom>
      <diagonal/>
    </border>
    <border>
      <left style="thin">
        <color indexed="8"/>
      </left>
      <right style="thin">
        <color auto="1"/>
      </right>
      <top/>
      <bottom/>
      <diagonal/>
    </border>
    <border>
      <left style="thin">
        <color indexed="8"/>
      </left>
      <right style="thin">
        <color indexed="8"/>
      </right>
      <top style="thin">
        <color indexed="8"/>
      </top>
      <bottom style="medium">
        <color auto="1"/>
      </bottom>
      <diagonal/>
    </border>
    <border>
      <left style="thin">
        <color auto="1"/>
      </left>
      <right style="thin">
        <color indexed="8"/>
      </right>
      <top style="thin">
        <color indexed="8"/>
      </top>
      <bottom/>
      <diagonal/>
    </border>
    <border>
      <left style="thin">
        <color auto="1"/>
      </left>
      <right style="thin">
        <color indexed="8"/>
      </right>
      <top/>
      <bottom style="thin">
        <color indexed="8"/>
      </bottom>
      <diagonal/>
    </border>
    <border>
      <left/>
      <right/>
      <top style="thin">
        <color auto="1"/>
      </top>
      <bottom style="double">
        <color auto="1"/>
      </bottom>
      <diagonal/>
    </border>
    <border>
      <left style="thin">
        <color theme="1"/>
      </left>
      <right style="thin">
        <color theme="1"/>
      </right>
      <top style="thin">
        <color theme="1"/>
      </top>
      <bottom style="thin">
        <color theme="1"/>
      </bottom>
      <diagonal/>
    </border>
    <border>
      <left style="thin">
        <color indexed="8"/>
      </left>
      <right style="thin">
        <color indexed="8"/>
      </right>
      <top/>
      <bottom style="double">
        <color auto="1"/>
      </bottom>
      <diagonal/>
    </border>
    <border>
      <left style="medium">
        <color auto="1"/>
      </left>
      <right/>
      <top style="medium">
        <color auto="1"/>
      </top>
      <bottom style="medium">
        <color auto="1"/>
      </bottom>
      <diagonal/>
    </border>
    <border>
      <left style="thin">
        <color indexed="8"/>
      </left>
      <right/>
      <top/>
      <bottom style="double">
        <color auto="1"/>
      </bottom>
      <diagonal/>
    </border>
    <border>
      <left/>
      <right style="thin">
        <color indexed="8"/>
      </right>
      <top/>
      <bottom style="thin">
        <color auto="1"/>
      </bottom>
      <diagonal/>
    </border>
    <border>
      <left style="thin">
        <color indexed="8"/>
      </left>
      <right/>
      <top style="thin">
        <color indexed="8"/>
      </top>
      <bottom style="thin">
        <color auto="1"/>
      </bottom>
      <diagonal/>
    </border>
    <border>
      <left/>
      <right style="thin">
        <color indexed="8"/>
      </right>
      <top style="thin">
        <color indexed="8"/>
      </top>
      <bottom style="thin">
        <color auto="1"/>
      </bottom>
      <diagonal/>
    </border>
    <border>
      <left style="thin">
        <color indexed="8"/>
      </left>
      <right/>
      <top/>
      <bottom style="medium">
        <color indexed="8"/>
      </bottom>
      <diagonal/>
    </border>
    <border>
      <left/>
      <right style="thin">
        <color indexed="8"/>
      </right>
      <top/>
      <bottom style="medium">
        <color indexed="8"/>
      </bottom>
      <diagonal/>
    </border>
    <border>
      <left style="thin">
        <color indexed="8"/>
      </left>
      <right/>
      <top/>
      <bottom style="thin">
        <color auto="1"/>
      </bottom>
      <diagonal/>
    </border>
    <border>
      <left style="thin">
        <color indexed="8"/>
      </left>
      <right style="thin">
        <color indexed="8"/>
      </right>
      <top style="thin">
        <color indexed="8"/>
      </top>
      <bottom style="thin">
        <color auto="1"/>
      </bottom>
      <diagonal/>
    </border>
    <border>
      <left style="thin">
        <color indexed="8"/>
      </left>
      <right/>
      <top style="thin">
        <color auto="1"/>
      </top>
      <bottom/>
      <diagonal/>
    </border>
    <border>
      <left/>
      <right style="thin">
        <color auto="1"/>
      </right>
      <top/>
      <bottom style="double">
        <color auto="1"/>
      </bottom>
      <diagonal/>
    </border>
    <border>
      <left style="thin">
        <color auto="1"/>
      </left>
      <right/>
      <top style="thin">
        <color auto="1"/>
      </top>
      <bottom style="thin">
        <color indexed="8"/>
      </bottom>
      <diagonal/>
    </border>
    <border>
      <left/>
      <right/>
      <top style="thin">
        <color theme="1"/>
      </top>
      <bottom/>
      <diagonal/>
    </border>
    <border>
      <left style="thin">
        <color indexed="8"/>
      </left>
      <right/>
      <top style="thin">
        <color auto="1"/>
      </top>
      <bottom style="thin">
        <color indexed="8"/>
      </bottom>
      <diagonal/>
    </border>
    <border>
      <left style="thin">
        <color indexed="8"/>
      </left>
      <right/>
      <top style="medium">
        <color indexed="8"/>
      </top>
      <bottom style="double">
        <color indexed="8"/>
      </bottom>
      <diagonal/>
    </border>
    <border>
      <left/>
      <right style="thin">
        <color indexed="8"/>
      </right>
      <top style="medium">
        <color indexed="8"/>
      </top>
      <bottom style="double">
        <color indexed="8"/>
      </bottom>
      <diagonal/>
    </border>
    <border>
      <left style="thin">
        <color indexed="8"/>
      </left>
      <right style="thin">
        <color auto="1"/>
      </right>
      <top/>
      <bottom style="double">
        <color auto="1"/>
      </bottom>
      <diagonal/>
    </border>
    <border>
      <left style="thin">
        <color auto="1"/>
      </left>
      <right style="thin">
        <color indexed="8"/>
      </right>
      <top/>
      <bottom style="double">
        <color auto="1"/>
      </bottom>
      <diagonal/>
    </border>
    <border>
      <left style="thin">
        <color indexed="8"/>
      </left>
      <right style="thin">
        <color auto="1"/>
      </right>
      <top/>
      <bottom style="medium">
        <color indexed="8"/>
      </bottom>
      <diagonal/>
    </border>
    <border>
      <left style="thin">
        <color auto="1"/>
      </left>
      <right style="thin">
        <color indexed="8"/>
      </right>
      <top/>
      <bottom style="medium">
        <color indexed="8"/>
      </bottom>
      <diagonal/>
    </border>
    <border>
      <left/>
      <right style="thin">
        <color rgb="FF000000"/>
      </right>
      <top style="thin">
        <color auto="1"/>
      </top>
      <bottom style="thin">
        <color auto="1"/>
      </bottom>
      <diagonal/>
    </border>
    <border>
      <left style="thin">
        <color rgb="FF000000"/>
      </left>
      <right/>
      <top style="thin">
        <color auto="1"/>
      </top>
      <bottom style="thin">
        <color auto="1"/>
      </bottom>
      <diagonal/>
    </border>
    <border>
      <left style="thin">
        <color indexed="64"/>
      </left>
      <right style="thin">
        <color indexed="64"/>
      </right>
      <top style="thin">
        <color indexed="64"/>
      </top>
      <bottom style="thin">
        <color indexed="64"/>
      </bottom>
      <diagonal/>
    </border>
  </borders>
  <cellStyleXfs count="31">
    <xf numFmtId="0" fontId="0" fillId="0" borderId="0" applyBorder="0"/>
    <xf numFmtId="9"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0" fontId="118" fillId="0" borderId="0" applyNumberFormat="0" applyFill="0" applyBorder="0">
      <protection locked="0"/>
    </xf>
    <xf numFmtId="0" fontId="118" fillId="0" borderId="0" applyNumberFormat="0" applyFill="0" applyBorder="0">
      <protection locked="0"/>
    </xf>
    <xf numFmtId="0" fontId="28" fillId="0" borderId="0" applyNumberFormat="0" applyFill="0" applyBorder="0">
      <protection locked="0"/>
    </xf>
    <xf numFmtId="0" fontId="118" fillId="0" borderId="0" applyNumberFormat="0" applyFill="0" applyBorder="0">
      <protection locked="0"/>
    </xf>
    <xf numFmtId="0" fontId="118" fillId="0" borderId="0" applyNumberFormat="0" applyFill="0" applyBorder="0">
      <protection locked="0"/>
    </xf>
    <xf numFmtId="0" fontId="118" fillId="0" borderId="0" applyFont="0" applyBorder="0"/>
    <xf numFmtId="177" fontId="20" fillId="2" borderId="0"/>
    <xf numFmtId="0" fontId="19" fillId="2" borderId="0"/>
    <xf numFmtId="0" fontId="21" fillId="2" borderId="0"/>
    <xf numFmtId="0" fontId="21" fillId="2" borderId="0"/>
    <xf numFmtId="0" fontId="36" fillId="2" borderId="0"/>
    <xf numFmtId="0" fontId="36" fillId="2" borderId="0"/>
    <xf numFmtId="0" fontId="36" fillId="2" borderId="0"/>
    <xf numFmtId="0" fontId="19" fillId="2" borderId="0"/>
    <xf numFmtId="0" fontId="36" fillId="2" borderId="0"/>
    <xf numFmtId="0" fontId="36" fillId="2" borderId="0"/>
    <xf numFmtId="0" fontId="2" fillId="0" borderId="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111" fillId="0" borderId="0" applyNumberFormat="0" applyFill="0" applyBorder="0">
      <protection locked="0"/>
    </xf>
    <xf numFmtId="0" fontId="112" fillId="0" borderId="0" applyNumberFormat="0" applyFill="0" applyBorder="0" applyAlignment="0" applyProtection="0"/>
    <xf numFmtId="0" fontId="3" fillId="0" borderId="0"/>
    <xf numFmtId="0" fontId="2" fillId="0" borderId="0"/>
    <xf numFmtId="0" fontId="1" fillId="0" borderId="0"/>
  </cellStyleXfs>
  <cellXfs count="1912">
    <xf numFmtId="0" fontId="0" fillId="0" borderId="0" xfId="0"/>
    <xf numFmtId="0" fontId="9" fillId="0" borderId="0" xfId="0" applyFont="1" applyAlignment="1">
      <alignment horizontal="left"/>
    </xf>
    <xf numFmtId="0" fontId="9" fillId="0" borderId="1" xfId="0" applyFont="1" applyBorder="1" applyAlignment="1">
      <alignment horizontal="center"/>
    </xf>
    <xf numFmtId="0" fontId="9" fillId="0" borderId="2" xfId="0" applyFont="1" applyBorder="1" applyAlignment="1">
      <alignment horizontal="center"/>
    </xf>
    <xf numFmtId="0" fontId="9" fillId="0" borderId="0" xfId="0" applyFont="1" applyAlignment="1">
      <alignment horizontal="center"/>
    </xf>
    <xf numFmtId="37" fontId="9" fillId="0" borderId="3" xfId="0" applyNumberFormat="1" applyFont="1" applyBorder="1" applyAlignment="1" applyProtection="1">
      <alignment horizontal="right"/>
      <protection locked="0"/>
    </xf>
    <xf numFmtId="37" fontId="13" fillId="2" borderId="4" xfId="13" applyNumberFormat="1" applyFont="1" applyBorder="1" applyProtection="1">
      <protection locked="0"/>
    </xf>
    <xf numFmtId="37" fontId="9" fillId="2" borderId="4" xfId="13" applyNumberFormat="1" applyFont="1" applyBorder="1" applyProtection="1">
      <protection locked="0"/>
    </xf>
    <xf numFmtId="3" fontId="9" fillId="0" borderId="5" xfId="0" applyNumberFormat="1" applyFont="1" applyBorder="1" applyProtection="1">
      <protection locked="0"/>
    </xf>
    <xf numFmtId="3" fontId="9" fillId="0" borderId="3" xfId="0" applyNumberFormat="1" applyFont="1" applyBorder="1" applyProtection="1">
      <protection locked="0"/>
    </xf>
    <xf numFmtId="37" fontId="13" fillId="0" borderId="6" xfId="0" applyNumberFormat="1" applyFont="1" applyBorder="1" applyProtection="1">
      <protection locked="0"/>
    </xf>
    <xf numFmtId="37" fontId="9" fillId="0" borderId="3" xfId="0" applyNumberFormat="1" applyFont="1" applyBorder="1" applyProtection="1">
      <protection locked="0"/>
    </xf>
    <xf numFmtId="37" fontId="9" fillId="0" borderId="5" xfId="0" applyNumberFormat="1" applyFont="1" applyBorder="1" applyProtection="1">
      <protection locked="0"/>
    </xf>
    <xf numFmtId="4" fontId="9" fillId="0" borderId="3" xfId="0" applyNumberFormat="1" applyFont="1" applyBorder="1" applyAlignment="1" applyProtection="1">
      <alignment horizontal="right"/>
      <protection locked="0"/>
    </xf>
    <xf numFmtId="0" fontId="9" fillId="0" borderId="0" xfId="0" applyFont="1" applyProtection="1">
      <protection locked="0"/>
    </xf>
    <xf numFmtId="38" fontId="9" fillId="0" borderId="4" xfId="0" applyNumberFormat="1" applyFont="1" applyBorder="1" applyProtection="1">
      <protection locked="0"/>
    </xf>
    <xf numFmtId="174" fontId="9" fillId="0" borderId="5" xfId="0" applyNumberFormat="1" applyFont="1" applyBorder="1" applyProtection="1">
      <protection locked="0"/>
    </xf>
    <xf numFmtId="174" fontId="9" fillId="0" borderId="3" xfId="0" applyNumberFormat="1" applyFont="1" applyBorder="1" applyProtection="1">
      <protection locked="0"/>
    </xf>
    <xf numFmtId="37" fontId="9" fillId="0" borderId="7" xfId="4" applyNumberFormat="1" applyFont="1" applyBorder="1" applyProtection="1">
      <protection locked="0"/>
    </xf>
    <xf numFmtId="49" fontId="9" fillId="0" borderId="0" xfId="0" applyNumberFormat="1" applyFont="1" applyAlignment="1" applyProtection="1">
      <alignment horizontal="left"/>
      <protection locked="0"/>
    </xf>
    <xf numFmtId="37" fontId="9" fillId="0" borderId="7" xfId="0" applyNumberFormat="1" applyFont="1" applyBorder="1" applyProtection="1">
      <protection locked="0"/>
    </xf>
    <xf numFmtId="37" fontId="7" fillId="0" borderId="8" xfId="0" applyNumberFormat="1" applyFont="1" applyBorder="1" applyAlignment="1" applyProtection="1">
      <alignment horizontal="right"/>
      <protection locked="0"/>
    </xf>
    <xf numFmtId="37" fontId="7" fillId="0" borderId="9" xfId="0" applyNumberFormat="1" applyFont="1" applyBorder="1" applyAlignment="1" applyProtection="1">
      <alignment horizontal="right"/>
      <protection locked="0"/>
    </xf>
    <xf numFmtId="37" fontId="5" fillId="0" borderId="10" xfId="0" applyNumberFormat="1" applyFont="1" applyBorder="1" applyProtection="1">
      <protection locked="0"/>
    </xf>
    <xf numFmtId="37" fontId="9" fillId="0" borderId="7" xfId="2" applyNumberFormat="1" applyFont="1" applyBorder="1" applyProtection="1">
      <protection locked="0"/>
    </xf>
    <xf numFmtId="49" fontId="5" fillId="0" borderId="4" xfId="0" applyNumberFormat="1" applyFont="1" applyBorder="1" applyAlignment="1" applyProtection="1">
      <alignment horizontal="center"/>
      <protection locked="0"/>
    </xf>
    <xf numFmtId="37" fontId="7" fillId="0" borderId="11" xfId="0" applyNumberFormat="1" applyFont="1" applyBorder="1" applyAlignment="1" applyProtection="1">
      <alignment horizontal="right"/>
      <protection locked="0"/>
    </xf>
    <xf numFmtId="42" fontId="9" fillId="0" borderId="7" xfId="2" applyNumberFormat="1" applyFont="1" applyBorder="1" applyProtection="1">
      <protection locked="0"/>
    </xf>
    <xf numFmtId="42" fontId="9" fillId="0" borderId="10" xfId="2" applyNumberFormat="1" applyFont="1" applyBorder="1" applyProtection="1">
      <protection locked="0"/>
    </xf>
    <xf numFmtId="42" fontId="5" fillId="0" borderId="4" xfId="0" applyNumberFormat="1" applyFont="1" applyBorder="1" applyProtection="1">
      <protection locked="0"/>
    </xf>
    <xf numFmtId="42" fontId="25" fillId="0" borderId="4" xfId="0" applyNumberFormat="1" applyFont="1" applyBorder="1" applyAlignment="1" applyProtection="1">
      <alignment horizontal="right"/>
      <protection locked="0"/>
    </xf>
    <xf numFmtId="37" fontId="9" fillId="0" borderId="10" xfId="4" applyNumberFormat="1" applyFont="1" applyBorder="1" applyProtection="1">
      <protection locked="0"/>
    </xf>
    <xf numFmtId="0" fontId="16" fillId="0" borderId="10" xfId="0" applyFont="1" applyBorder="1" applyProtection="1">
      <protection locked="0"/>
    </xf>
    <xf numFmtId="42" fontId="9" fillId="0" borderId="10" xfId="0" applyNumberFormat="1" applyFont="1" applyBorder="1" applyAlignment="1" applyProtection="1">
      <alignment horizontal="right"/>
      <protection locked="0"/>
    </xf>
    <xf numFmtId="37" fontId="9" fillId="0" borderId="2" xfId="0" applyNumberFormat="1" applyFont="1" applyBorder="1" applyProtection="1">
      <protection locked="0"/>
    </xf>
    <xf numFmtId="37" fontId="9" fillId="0" borderId="12" xfId="0" applyNumberFormat="1" applyFont="1" applyBorder="1" applyProtection="1">
      <protection locked="0"/>
    </xf>
    <xf numFmtId="4" fontId="9" fillId="0" borderId="5" xfId="0" applyNumberFormat="1" applyFont="1" applyBorder="1" applyProtection="1">
      <protection locked="0"/>
    </xf>
    <xf numFmtId="37" fontId="9" fillId="0" borderId="5" xfId="0" applyNumberFormat="1" applyFont="1" applyBorder="1" applyAlignment="1" applyProtection="1">
      <alignment horizontal="right"/>
      <protection locked="0"/>
    </xf>
    <xf numFmtId="37" fontId="9" fillId="0" borderId="13" xfId="0" applyNumberFormat="1" applyFont="1" applyBorder="1" applyAlignment="1" applyProtection="1">
      <alignment horizontal="right"/>
      <protection locked="0"/>
    </xf>
    <xf numFmtId="37" fontId="9" fillId="0" borderId="13" xfId="0" applyNumberFormat="1" applyFont="1" applyBorder="1" applyProtection="1">
      <protection locked="0"/>
    </xf>
    <xf numFmtId="37" fontId="7" fillId="0" borderId="5" xfId="11" applyNumberFormat="1" applyFont="1" applyBorder="1" applyAlignment="1" applyProtection="1">
      <alignment horizontal="right"/>
      <protection locked="0"/>
    </xf>
    <xf numFmtId="37" fontId="7" fillId="0" borderId="3" xfId="11" applyNumberFormat="1" applyFont="1" applyBorder="1" applyAlignment="1" applyProtection="1">
      <alignment horizontal="right"/>
      <protection locked="0"/>
    </xf>
    <xf numFmtId="37" fontId="5" fillId="0" borderId="14" xfId="0" applyNumberFormat="1" applyFont="1" applyBorder="1" applyAlignment="1" applyProtection="1">
      <alignment horizontal="right"/>
      <protection locked="0"/>
    </xf>
    <xf numFmtId="37" fontId="9" fillId="2" borderId="7" xfId="13" applyNumberFormat="1" applyFont="1" applyBorder="1" applyProtection="1">
      <protection locked="0"/>
    </xf>
    <xf numFmtId="37" fontId="7" fillId="0" borderId="15" xfId="11" applyNumberFormat="1" applyFont="1" applyBorder="1" applyAlignment="1" applyProtection="1">
      <alignment horizontal="right"/>
      <protection locked="0"/>
    </xf>
    <xf numFmtId="3" fontId="9" fillId="0" borderId="16" xfId="0" applyNumberFormat="1" applyFont="1" applyBorder="1" applyProtection="1">
      <protection locked="0"/>
    </xf>
    <xf numFmtId="37" fontId="9" fillId="0" borderId="10" xfId="0" applyNumberFormat="1" applyFont="1" applyBorder="1" applyProtection="1">
      <protection locked="0"/>
    </xf>
    <xf numFmtId="37" fontId="13" fillId="0" borderId="7" xfId="13" quotePrefix="1" applyNumberFormat="1" applyFont="1" applyFill="1" applyBorder="1" applyProtection="1">
      <protection locked="0"/>
    </xf>
    <xf numFmtId="37" fontId="5" fillId="0" borderId="7" xfId="0" applyNumberFormat="1" applyFont="1" applyBorder="1" applyProtection="1">
      <protection locked="0"/>
    </xf>
    <xf numFmtId="37" fontId="7" fillId="0" borderId="17" xfId="0" applyNumberFormat="1" applyFont="1" applyBorder="1" applyAlignment="1" applyProtection="1">
      <alignment horizontal="right"/>
      <protection locked="0"/>
    </xf>
    <xf numFmtId="37" fontId="7" fillId="0" borderId="8" xfId="0" applyNumberFormat="1" applyFont="1" applyBorder="1" applyProtection="1">
      <protection locked="0"/>
    </xf>
    <xf numFmtId="38" fontId="5" fillId="0" borderId="18" xfId="0" applyNumberFormat="1" applyFont="1" applyBorder="1" applyAlignment="1" applyProtection="1">
      <alignment vertical="top"/>
      <protection locked="0"/>
    </xf>
    <xf numFmtId="38" fontId="25" fillId="0" borderId="3" xfId="0" applyNumberFormat="1" applyFont="1" applyBorder="1" applyProtection="1">
      <protection locked="0"/>
    </xf>
    <xf numFmtId="38" fontId="25" fillId="0" borderId="15" xfId="0" applyNumberFormat="1" applyFont="1" applyBorder="1" applyProtection="1">
      <protection locked="0"/>
    </xf>
    <xf numFmtId="37" fontId="7" fillId="0" borderId="19" xfId="0" applyNumberFormat="1" applyFont="1" applyBorder="1" applyProtection="1">
      <protection locked="0"/>
    </xf>
    <xf numFmtId="179" fontId="9" fillId="0" borderId="10" xfId="2" applyNumberFormat="1" applyFont="1" applyBorder="1" applyAlignment="1" applyProtection="1">
      <alignment horizontal="left"/>
      <protection locked="0"/>
    </xf>
    <xf numFmtId="37" fontId="13" fillId="0" borderId="10" xfId="13" quotePrefix="1" applyNumberFormat="1" applyFont="1" applyFill="1" applyBorder="1" applyProtection="1">
      <protection locked="0"/>
    </xf>
    <xf numFmtId="37" fontId="9" fillId="0" borderId="20" xfId="0" applyNumberFormat="1" applyFont="1" applyBorder="1" applyProtection="1">
      <protection locked="0"/>
    </xf>
    <xf numFmtId="0" fontId="9" fillId="0" borderId="21" xfId="0" applyFont="1" applyBorder="1" applyProtection="1">
      <protection locked="0"/>
    </xf>
    <xf numFmtId="0" fontId="7" fillId="0" borderId="21" xfId="0" applyFont="1" applyBorder="1" applyProtection="1">
      <protection locked="0"/>
    </xf>
    <xf numFmtId="39" fontId="9" fillId="0" borderId="9" xfId="0" applyNumberFormat="1" applyFont="1" applyBorder="1" applyProtection="1">
      <protection locked="0"/>
    </xf>
    <xf numFmtId="166" fontId="9" fillId="3" borderId="9" xfId="0" applyNumberFormat="1" applyFont="1" applyFill="1" applyBorder="1" applyProtection="1">
      <protection locked="0"/>
    </xf>
    <xf numFmtId="39" fontId="9" fillId="3" borderId="9" xfId="0" applyNumberFormat="1" applyFont="1" applyFill="1" applyBorder="1" applyProtection="1">
      <protection locked="0"/>
    </xf>
    <xf numFmtId="174" fontId="9" fillId="3" borderId="9" xfId="0" applyNumberFormat="1" applyFont="1" applyFill="1" applyBorder="1" applyProtection="1">
      <protection locked="0"/>
    </xf>
    <xf numFmtId="7" fontId="9" fillId="3" borderId="9" xfId="0" applyNumberFormat="1" applyFont="1" applyFill="1" applyBorder="1" applyProtection="1">
      <protection locked="0"/>
    </xf>
    <xf numFmtId="7" fontId="9" fillId="0" borderId="9" xfId="0" applyNumberFormat="1" applyFont="1" applyBorder="1" applyProtection="1">
      <protection locked="0"/>
    </xf>
    <xf numFmtId="7" fontId="9" fillId="3" borderId="17" xfId="0" applyNumberFormat="1" applyFont="1" applyFill="1" applyBorder="1" applyProtection="1">
      <protection locked="0"/>
    </xf>
    <xf numFmtId="7" fontId="9" fillId="0" borderId="17" xfId="0" applyNumberFormat="1" applyFont="1" applyBorder="1" applyProtection="1">
      <protection locked="0"/>
    </xf>
    <xf numFmtId="37" fontId="15" fillId="0" borderId="3" xfId="15" applyNumberFormat="1" applyFont="1" applyFill="1" applyBorder="1" applyAlignment="1" applyProtection="1">
      <alignment horizontal="right"/>
      <protection locked="0"/>
    </xf>
    <xf numFmtId="37" fontId="15" fillId="0" borderId="5" xfId="15" applyNumberFormat="1" applyFont="1" applyFill="1" applyBorder="1" applyAlignment="1" applyProtection="1">
      <alignment horizontal="right"/>
      <protection locked="0"/>
    </xf>
    <xf numFmtId="37" fontId="15" fillId="0" borderId="9" xfId="15" applyNumberFormat="1" applyFont="1" applyFill="1" applyBorder="1" applyAlignment="1" applyProtection="1">
      <alignment horizontal="right"/>
      <protection locked="0"/>
    </xf>
    <xf numFmtId="37" fontId="15" fillId="0" borderId="22" xfId="15" applyNumberFormat="1" applyFont="1" applyFill="1" applyBorder="1" applyAlignment="1" applyProtection="1">
      <alignment horizontal="right"/>
      <protection locked="0"/>
    </xf>
    <xf numFmtId="0" fontId="7" fillId="0" borderId="9" xfId="0" applyFont="1" applyBorder="1" applyAlignment="1" applyProtection="1">
      <alignment horizontal="center"/>
      <protection locked="0"/>
    </xf>
    <xf numFmtId="37" fontId="9" fillId="0" borderId="15" xfId="0" applyNumberFormat="1" applyFont="1" applyBorder="1" applyProtection="1">
      <protection locked="0"/>
    </xf>
    <xf numFmtId="168" fontId="9" fillId="0" borderId="9" xfId="0" applyNumberFormat="1" applyFont="1" applyBorder="1" applyProtection="1">
      <protection locked="0"/>
    </xf>
    <xf numFmtId="168" fontId="9" fillId="0" borderId="9" xfId="0" applyNumberFormat="1" applyFont="1" applyBorder="1" applyAlignment="1" applyProtection="1">
      <alignment horizontal="right"/>
      <protection locked="0"/>
    </xf>
    <xf numFmtId="166" fontId="9" fillId="0" borderId="9" xfId="0" applyNumberFormat="1" applyFont="1" applyBorder="1" applyProtection="1">
      <protection locked="0"/>
    </xf>
    <xf numFmtId="7" fontId="9" fillId="3" borderId="24" xfId="0" applyNumberFormat="1" applyFont="1" applyFill="1" applyBorder="1" applyProtection="1">
      <protection locked="0"/>
    </xf>
    <xf numFmtId="38" fontId="64" fillId="0" borderId="25" xfId="0" applyNumberFormat="1" applyFont="1" applyBorder="1" applyProtection="1">
      <protection locked="0"/>
    </xf>
    <xf numFmtId="174" fontId="9" fillId="0" borderId="9" xfId="0" applyNumberFormat="1" applyFont="1" applyBorder="1" applyAlignment="1" applyProtection="1">
      <alignment horizontal="right"/>
      <protection locked="0"/>
    </xf>
    <xf numFmtId="174" fontId="9" fillId="0" borderId="9" xfId="0" applyNumberFormat="1" applyFont="1" applyBorder="1" applyProtection="1">
      <protection locked="0"/>
    </xf>
    <xf numFmtId="174" fontId="9" fillId="0" borderId="22" xfId="0" applyNumberFormat="1" applyFont="1" applyBorder="1" applyProtection="1">
      <protection locked="0"/>
    </xf>
    <xf numFmtId="174" fontId="9" fillId="0" borderId="9" xfId="0" applyNumberFormat="1" applyFont="1" applyBorder="1" applyAlignment="1" applyProtection="1">
      <alignment horizontal="right" vertical="top"/>
      <protection locked="0"/>
    </xf>
    <xf numFmtId="174" fontId="9" fillId="0" borderId="9" xfId="0" applyNumberFormat="1" applyFont="1" applyBorder="1" applyAlignment="1" applyProtection="1">
      <alignment vertical="top"/>
      <protection locked="0"/>
    </xf>
    <xf numFmtId="174" fontId="63" fillId="3" borderId="9" xfId="0" applyNumberFormat="1" applyFont="1" applyFill="1" applyBorder="1" applyProtection="1">
      <protection locked="0"/>
    </xf>
    <xf numFmtId="5" fontId="9" fillId="3" borderId="9" xfId="0" applyNumberFormat="1" applyFont="1" applyFill="1" applyBorder="1" applyProtection="1">
      <protection locked="0"/>
    </xf>
    <xf numFmtId="5" fontId="9" fillId="0" borderId="9" xfId="0" applyNumberFormat="1" applyFont="1" applyBorder="1" applyProtection="1">
      <protection locked="0"/>
    </xf>
    <xf numFmtId="37" fontId="9" fillId="0" borderId="16" xfId="0" applyNumberFormat="1" applyFont="1" applyBorder="1" applyProtection="1">
      <protection locked="0"/>
    </xf>
    <xf numFmtId="49" fontId="16" fillId="0" borderId="10" xfId="14" applyNumberFormat="1" applyFont="1" applyFill="1" applyBorder="1" applyAlignment="1" applyProtection="1">
      <alignment horizontal="center"/>
      <protection locked="0"/>
    </xf>
    <xf numFmtId="37" fontId="9" fillId="0" borderId="0" xfId="0" applyNumberFormat="1" applyFont="1" applyProtection="1">
      <protection locked="0"/>
    </xf>
    <xf numFmtId="37" fontId="9" fillId="2" borderId="0" xfId="13" applyNumberFormat="1" applyFont="1" applyProtection="1">
      <protection locked="0"/>
    </xf>
    <xf numFmtId="37" fontId="9" fillId="0" borderId="4" xfId="0" applyNumberFormat="1" applyFont="1" applyBorder="1" applyProtection="1">
      <protection locked="0"/>
    </xf>
    <xf numFmtId="37" fontId="5" fillId="0" borderId="10" xfId="0" applyNumberFormat="1" applyFont="1" applyBorder="1" applyAlignment="1" applyProtection="1">
      <alignment horizontal="right"/>
      <protection locked="0"/>
    </xf>
    <xf numFmtId="37" fontId="7" fillId="2" borderId="5" xfId="11" applyNumberFormat="1" applyFont="1" applyFill="1" applyBorder="1" applyAlignment="1" applyProtection="1">
      <alignment horizontal="right"/>
      <protection locked="0"/>
    </xf>
    <xf numFmtId="44" fontId="9" fillId="0" borderId="9" xfId="2" applyFont="1" applyBorder="1" applyProtection="1"/>
    <xf numFmtId="174" fontId="9" fillId="4" borderId="9" xfId="0" applyNumberFormat="1" applyFont="1" applyFill="1" applyBorder="1" applyProtection="1">
      <protection locked="0"/>
    </xf>
    <xf numFmtId="0" fontId="9" fillId="0" borderId="0" xfId="0" applyFont="1"/>
    <xf numFmtId="0" fontId="4" fillId="0" borderId="0" xfId="0" applyFont="1"/>
    <xf numFmtId="49" fontId="5" fillId="0" borderId="4" xfId="0" applyNumberFormat="1" applyFont="1" applyBorder="1" applyAlignment="1">
      <alignment horizontal="center"/>
    </xf>
    <xf numFmtId="0" fontId="9" fillId="0" borderId="1" xfId="0" applyFont="1" applyBorder="1"/>
    <xf numFmtId="0" fontId="35" fillId="0" borderId="0" xfId="0" applyFont="1"/>
    <xf numFmtId="0" fontId="9" fillId="0" borderId="26" xfId="0" applyFont="1" applyBorder="1"/>
    <xf numFmtId="38" fontId="9" fillId="0" borderId="4" xfId="0" applyNumberFormat="1" applyFont="1" applyBorder="1"/>
    <xf numFmtId="0" fontId="9" fillId="0" borderId="0" xfId="0" applyFont="1" applyAlignment="1">
      <alignment horizontal="centerContinuous"/>
    </xf>
    <xf numFmtId="38" fontId="9" fillId="0" borderId="27" xfId="0" applyNumberFormat="1" applyFont="1" applyBorder="1"/>
    <xf numFmtId="0" fontId="37" fillId="5" borderId="0" xfId="8" applyFont="1" applyFill="1" applyProtection="1"/>
    <xf numFmtId="0" fontId="28" fillId="5" borderId="0" xfId="8" applyFill="1" applyProtection="1"/>
    <xf numFmtId="0" fontId="69" fillId="0" borderId="0" xfId="0" applyFont="1"/>
    <xf numFmtId="174" fontId="9" fillId="0" borderId="0" xfId="0" applyNumberFormat="1" applyFont="1"/>
    <xf numFmtId="173" fontId="9" fillId="0" borderId="0" xfId="0" applyNumberFormat="1" applyFont="1" applyAlignment="1">
      <alignment horizontal="center"/>
    </xf>
    <xf numFmtId="173" fontId="9" fillId="0" borderId="0" xfId="0" applyNumberFormat="1" applyFont="1"/>
    <xf numFmtId="0" fontId="67" fillId="0" borderId="0" xfId="0" applyFont="1"/>
    <xf numFmtId="0" fontId="32" fillId="0" borderId="0" xfId="8" applyFont="1" applyAlignment="1" applyProtection="1">
      <alignment wrapText="1"/>
    </xf>
    <xf numFmtId="0" fontId="9" fillId="0" borderId="2" xfId="0" applyFont="1" applyBorder="1" applyAlignment="1">
      <alignment wrapText="1"/>
    </xf>
    <xf numFmtId="0" fontId="32" fillId="0" borderId="0" xfId="8" applyFont="1" applyFill="1" applyProtection="1"/>
    <xf numFmtId="174" fontId="9" fillId="0" borderId="28" xfId="0" applyNumberFormat="1" applyFont="1" applyBorder="1"/>
    <xf numFmtId="0" fontId="11" fillId="0" borderId="0" xfId="0" applyFont="1"/>
    <xf numFmtId="0" fontId="49" fillId="0" borderId="0" xfId="0" applyFont="1" applyAlignment="1">
      <alignment horizontal="center"/>
    </xf>
    <xf numFmtId="0" fontId="62" fillId="0" borderId="0" xfId="0" applyFont="1"/>
    <xf numFmtId="0" fontId="9" fillId="0" borderId="0" xfId="0" applyFont="1" applyAlignment="1">
      <alignment vertical="top"/>
    </xf>
    <xf numFmtId="0" fontId="9" fillId="0" borderId="0" xfId="0" quotePrefix="1" applyFont="1" applyAlignment="1">
      <alignment horizontal="right"/>
    </xf>
    <xf numFmtId="14" fontId="9" fillId="0" borderId="0" xfId="0" applyNumberFormat="1" applyFont="1" applyAlignment="1">
      <alignment horizontal="left"/>
    </xf>
    <xf numFmtId="14" fontId="9" fillId="0" borderId="2" xfId="0" applyNumberFormat="1" applyFont="1" applyBorder="1" applyAlignment="1">
      <alignment horizontal="center"/>
    </xf>
    <xf numFmtId="165" fontId="9" fillId="0" borderId="0" xfId="0" applyNumberFormat="1" applyFont="1"/>
    <xf numFmtId="0" fontId="9" fillId="0" borderId="0" xfId="0" applyFont="1" applyAlignment="1">
      <alignment horizontal="justify" wrapText="1"/>
    </xf>
    <xf numFmtId="0" fontId="67" fillId="0" borderId="0" xfId="0" quotePrefix="1" applyFont="1"/>
    <xf numFmtId="0" fontId="60" fillId="0" borderId="0" xfId="0" applyFont="1"/>
    <xf numFmtId="37" fontId="9" fillId="0" borderId="4" xfId="0" applyNumberFormat="1" applyFont="1" applyBorder="1"/>
    <xf numFmtId="0" fontId="9" fillId="0" borderId="0" xfId="0" applyFont="1" applyBorder="1" applyAlignment="1">
      <alignment vertical="top"/>
    </xf>
    <xf numFmtId="9" fontId="9" fillId="0" borderId="0" xfId="1" applyFont="1" applyFill="1" applyBorder="1" applyProtection="1"/>
    <xf numFmtId="0" fontId="5" fillId="0" borderId="26" xfId="0" applyFont="1" applyBorder="1"/>
    <xf numFmtId="0" fontId="4" fillId="0" borderId="29" xfId="0" applyFont="1" applyBorder="1"/>
    <xf numFmtId="0" fontId="5" fillId="0" borderId="30" xfId="0" applyFont="1" applyBorder="1"/>
    <xf numFmtId="0" fontId="25" fillId="0" borderId="29" xfId="0" applyFont="1" applyBorder="1"/>
    <xf numFmtId="0" fontId="2" fillId="0" borderId="0" xfId="0" applyFont="1"/>
    <xf numFmtId="0" fontId="25" fillId="0" borderId="0" xfId="0" applyFont="1"/>
    <xf numFmtId="38" fontId="63" fillId="0" borderId="0" xfId="0" applyNumberFormat="1" applyFont="1" applyBorder="1"/>
    <xf numFmtId="0" fontId="55" fillId="0" borderId="0" xfId="0" applyFont="1"/>
    <xf numFmtId="0" fontId="5" fillId="0" borderId="0" xfId="0" applyFont="1"/>
    <xf numFmtId="0" fontId="56" fillId="0" borderId="0" xfId="0" applyFont="1"/>
    <xf numFmtId="0" fontId="57" fillId="0" borderId="0" xfId="0" quotePrefix="1" applyFont="1"/>
    <xf numFmtId="0" fontId="56" fillId="0" borderId="0" xfId="0" applyFont="1" applyAlignment="1">
      <alignment horizontal="center" wrapText="1"/>
    </xf>
    <xf numFmtId="0" fontId="56" fillId="0" borderId="0" xfId="0" applyFont="1" applyAlignment="1">
      <alignment horizontal="center"/>
    </xf>
    <xf numFmtId="0" fontId="56" fillId="0" borderId="0" xfId="0" applyFont="1" applyBorder="1" applyAlignment="1">
      <alignment horizontal="center"/>
    </xf>
    <xf numFmtId="0" fontId="26" fillId="0" borderId="0" xfId="0" applyFont="1" applyAlignment="1">
      <alignment horizontal="justify" vertical="top"/>
    </xf>
    <xf numFmtId="0" fontId="4" fillId="0" borderId="0" xfId="0" applyFont="1" applyBorder="1"/>
    <xf numFmtId="176" fontId="26" fillId="0" borderId="0" xfId="0" applyNumberFormat="1" applyFont="1" applyAlignment="1">
      <alignment horizontal="justify" vertical="top"/>
    </xf>
    <xf numFmtId="0" fontId="35" fillId="0" borderId="0" xfId="0" applyFont="1" applyProtection="1">
      <protection hidden="1"/>
    </xf>
    <xf numFmtId="0" fontId="5" fillId="0" borderId="0" xfId="0" applyFont="1" applyAlignment="1">
      <alignment horizontal="center"/>
    </xf>
    <xf numFmtId="0" fontId="68" fillId="0" borderId="0" xfId="0" applyFont="1"/>
    <xf numFmtId="0" fontId="27" fillId="0" borderId="0" xfId="0" applyFont="1"/>
    <xf numFmtId="0" fontId="6" fillId="0" borderId="0" xfId="0" applyFont="1"/>
    <xf numFmtId="0" fontId="6" fillId="0" borderId="0" xfId="0" applyFont="1" applyAlignment="1">
      <alignment vertical="center"/>
    </xf>
    <xf numFmtId="0" fontId="78" fillId="0" borderId="0" xfId="0" applyFont="1"/>
    <xf numFmtId="0" fontId="6" fillId="0" borderId="0" xfId="0" applyFont="1" applyBorder="1" applyAlignment="1">
      <alignment horizontal="left"/>
    </xf>
    <xf numFmtId="0" fontId="6" fillId="0" borderId="0" xfId="0" applyFont="1" applyBorder="1"/>
    <xf numFmtId="0" fontId="8" fillId="0" borderId="4" xfId="0" applyFont="1" applyBorder="1"/>
    <xf numFmtId="0" fontId="4" fillId="0" borderId="0" xfId="0" applyFont="1" applyAlignment="1">
      <alignment horizontal="centerContinuous"/>
    </xf>
    <xf numFmtId="0" fontId="4" fillId="0" borderId="0" xfId="0" applyFont="1" applyAlignment="1">
      <alignment horizontal="left"/>
    </xf>
    <xf numFmtId="0" fontId="9" fillId="0" borderId="31" xfId="0" applyFont="1" applyBorder="1"/>
    <xf numFmtId="0" fontId="9" fillId="0" borderId="26" xfId="0" applyFont="1" applyBorder="1" applyAlignment="1">
      <alignment horizontal="centerContinuous"/>
    </xf>
    <xf numFmtId="0" fontId="9" fillId="0" borderId="32" xfId="0" applyFont="1" applyBorder="1" applyAlignment="1">
      <alignment horizontal="center"/>
    </xf>
    <xf numFmtId="0" fontId="9" fillId="0" borderId="4" xfId="0" applyFont="1" applyBorder="1" applyAlignment="1">
      <alignment horizontal="centerContinuous"/>
    </xf>
    <xf numFmtId="0" fontId="9" fillId="0" borderId="15" xfId="0" applyFont="1" applyBorder="1"/>
    <xf numFmtId="0" fontId="9" fillId="0" borderId="16" xfId="0" applyFont="1" applyBorder="1" applyAlignment="1">
      <alignment horizontal="centerContinuous"/>
    </xf>
    <xf numFmtId="0" fontId="9" fillId="0" borderId="26" xfId="0" applyFont="1" applyBorder="1" applyAlignment="1">
      <alignment horizontal="center"/>
    </xf>
    <xf numFmtId="0" fontId="9" fillId="0" borderId="32" xfId="0" applyFont="1" applyBorder="1"/>
    <xf numFmtId="0" fontId="4" fillId="0" borderId="16" xfId="0" applyFont="1" applyBorder="1"/>
    <xf numFmtId="0" fontId="4" fillId="0" borderId="4" xfId="0" applyFont="1" applyBorder="1"/>
    <xf numFmtId="0" fontId="9" fillId="0" borderId="4" xfId="0" applyFont="1" applyBorder="1"/>
    <xf numFmtId="0" fontId="9" fillId="0" borderId="5" xfId="0" applyFont="1" applyBorder="1" applyAlignment="1">
      <alignment horizontal="center"/>
    </xf>
    <xf numFmtId="0" fontId="9" fillId="0" borderId="4" xfId="0" applyFont="1" applyBorder="1" applyAlignment="1">
      <alignment horizontal="center"/>
    </xf>
    <xf numFmtId="0" fontId="9" fillId="0" borderId="16" xfId="0" applyFont="1" applyBorder="1" applyAlignment="1">
      <alignment horizontal="center"/>
    </xf>
    <xf numFmtId="4" fontId="9" fillId="0" borderId="15" xfId="0" applyNumberFormat="1" applyFont="1" applyBorder="1"/>
    <xf numFmtId="3" fontId="9" fillId="0" borderId="15" xfId="0" applyNumberFormat="1" applyFont="1" applyBorder="1"/>
    <xf numFmtId="49" fontId="9" fillId="0" borderId="0" xfId="0" applyNumberFormat="1" applyFont="1" applyAlignment="1">
      <alignment horizontal="right"/>
    </xf>
    <xf numFmtId="3" fontId="9" fillId="0" borderId="5" xfId="0" applyNumberFormat="1" applyFont="1" applyBorder="1"/>
    <xf numFmtId="49" fontId="9" fillId="0" borderId="0" xfId="0" applyNumberFormat="1" applyFont="1" applyAlignment="1">
      <alignment horizontal="left"/>
    </xf>
    <xf numFmtId="3" fontId="9" fillId="2" borderId="3" xfId="0" applyNumberFormat="1" applyFont="1" applyFill="1" applyBorder="1"/>
    <xf numFmtId="165" fontId="9" fillId="2" borderId="3" xfId="0" applyNumberFormat="1" applyFont="1" applyFill="1" applyBorder="1"/>
    <xf numFmtId="49" fontId="37" fillId="5" borderId="0" xfId="8" applyNumberFormat="1" applyFont="1" applyFill="1" applyAlignment="1" applyProtection="1">
      <alignment horizontal="right"/>
    </xf>
    <xf numFmtId="49" fontId="9" fillId="0" borderId="2" xfId="0" applyNumberFormat="1" applyFont="1" applyBorder="1" applyAlignment="1">
      <alignment horizontal="right"/>
    </xf>
    <xf numFmtId="49" fontId="9" fillId="0" borderId="2" xfId="0" quotePrefix="1" applyNumberFormat="1" applyFont="1" applyBorder="1" applyAlignment="1">
      <alignment horizontal="right"/>
    </xf>
    <xf numFmtId="0" fontId="63" fillId="0" borderId="2" xfId="0" quotePrefix="1" applyFont="1" applyBorder="1" applyAlignment="1">
      <alignment horizontal="right"/>
    </xf>
    <xf numFmtId="49" fontId="9" fillId="0" borderId="0" xfId="0" quotePrefix="1" applyNumberFormat="1" applyFont="1" applyAlignment="1">
      <alignment horizontal="left"/>
    </xf>
    <xf numFmtId="0" fontId="63" fillId="0" borderId="2" xfId="0" applyFont="1" applyBorder="1" applyAlignment="1">
      <alignment horizontal="right"/>
    </xf>
    <xf numFmtId="4" fontId="9" fillId="0" borderId="3" xfId="0" applyNumberFormat="1" applyFont="1" applyBorder="1" applyAlignment="1">
      <alignment horizontal="right"/>
    </xf>
    <xf numFmtId="0" fontId="9" fillId="0" borderId="16" xfId="0" applyFont="1" applyBorder="1"/>
    <xf numFmtId="49" fontId="9" fillId="0" borderId="4" xfId="0" applyNumberFormat="1" applyFont="1" applyBorder="1" applyAlignment="1">
      <alignment horizontal="right"/>
    </xf>
    <xf numFmtId="4" fontId="9" fillId="2" borderId="3" xfId="0" applyNumberFormat="1" applyFont="1" applyFill="1" applyBorder="1" applyAlignment="1">
      <alignment horizontal="right"/>
    </xf>
    <xf numFmtId="3" fontId="9" fillId="0" borderId="3" xfId="0" applyNumberFormat="1" applyFont="1" applyBorder="1" applyAlignment="1">
      <alignment horizontal="right"/>
    </xf>
    <xf numFmtId="0" fontId="63" fillId="0" borderId="0" xfId="0" applyFont="1" applyAlignment="1">
      <alignment horizontal="right"/>
    </xf>
    <xf numFmtId="49" fontId="9" fillId="0" borderId="33" xfId="0" applyNumberFormat="1" applyFont="1" applyBorder="1" applyAlignment="1">
      <alignment horizontal="right"/>
    </xf>
    <xf numFmtId="165" fontId="9" fillId="2" borderId="15" xfId="0" applyNumberFormat="1" applyFont="1" applyFill="1" applyBorder="1" applyAlignment="1">
      <alignment horizontal="right"/>
    </xf>
    <xf numFmtId="0" fontId="37" fillId="5" borderId="23" xfId="8" quotePrefix="1" applyFont="1" applyFill="1" applyBorder="1" applyAlignment="1" applyProtection="1">
      <alignment horizontal="right" vertical="center"/>
    </xf>
    <xf numFmtId="0" fontId="37" fillId="5" borderId="34" xfId="8" quotePrefix="1" applyFont="1" applyFill="1" applyBorder="1" applyAlignment="1" applyProtection="1">
      <alignment horizontal="right" vertical="center"/>
    </xf>
    <xf numFmtId="0" fontId="5" fillId="0" borderId="0" xfId="0" applyFont="1" applyAlignment="1">
      <alignment horizontal="centerContinuous"/>
    </xf>
    <xf numFmtId="0" fontId="74" fillId="0" borderId="0" xfId="0" applyFont="1" applyBorder="1"/>
    <xf numFmtId="0" fontId="63" fillId="0" borderId="0" xfId="0" applyFont="1" applyBorder="1"/>
    <xf numFmtId="0" fontId="63" fillId="0" borderId="0" xfId="0" applyFont="1"/>
    <xf numFmtId="0" fontId="63" fillId="0" borderId="0" xfId="0" quotePrefix="1" applyFont="1" applyBorder="1" applyAlignment="1">
      <alignment horizontal="right"/>
    </xf>
    <xf numFmtId="0" fontId="75" fillId="0" borderId="0" xfId="8" quotePrefix="1" applyFont="1" applyFill="1" applyBorder="1" applyAlignment="1" applyProtection="1">
      <alignment horizontal="right" vertical="center"/>
    </xf>
    <xf numFmtId="3" fontId="63" fillId="0" borderId="0" xfId="0" applyNumberFormat="1" applyFont="1" applyBorder="1"/>
    <xf numFmtId="0" fontId="63" fillId="0" borderId="0" xfId="0" quotePrefix="1" applyFont="1" applyBorder="1"/>
    <xf numFmtId="0" fontId="74" fillId="0" borderId="0" xfId="0" applyFont="1"/>
    <xf numFmtId="0" fontId="37" fillId="0" borderId="0" xfId="8" quotePrefix="1" applyFont="1" applyFill="1" applyAlignment="1" applyProtection="1">
      <alignment horizontal="right"/>
    </xf>
    <xf numFmtId="0" fontId="9" fillId="0" borderId="0" xfId="0" applyFont="1" applyBorder="1"/>
    <xf numFmtId="0" fontId="9" fillId="0" borderId="0" xfId="0" quotePrefix="1" applyFont="1"/>
    <xf numFmtId="0" fontId="4" fillId="0" borderId="0" xfId="0" applyFont="1" applyAlignment="1">
      <alignment horizontal="right"/>
    </xf>
    <xf numFmtId="0" fontId="10" fillId="0" borderId="0" xfId="0" applyFont="1" applyAlignment="1">
      <alignment horizontal="centerContinuous"/>
    </xf>
    <xf numFmtId="0" fontId="11" fillId="0" borderId="0" xfId="0" applyFont="1" applyAlignment="1">
      <alignment horizontal="center"/>
    </xf>
    <xf numFmtId="0" fontId="66" fillId="5" borderId="0" xfId="8" applyFont="1" applyFill="1" applyProtection="1"/>
    <xf numFmtId="38" fontId="5" fillId="0" borderId="0" xfId="0" applyNumberFormat="1" applyFont="1"/>
    <xf numFmtId="49" fontId="5" fillId="0" borderId="0" xfId="0" applyNumberFormat="1" applyFont="1" applyAlignment="1">
      <alignment horizontal="left"/>
    </xf>
    <xf numFmtId="0" fontId="12" fillId="5" borderId="0" xfId="8" quotePrefix="1" applyFont="1" applyFill="1" applyAlignment="1" applyProtection="1">
      <alignment horizontal="right"/>
    </xf>
    <xf numFmtId="0" fontId="5" fillId="0" borderId="0" xfId="0" applyFont="1" applyAlignment="1">
      <alignment vertical="top"/>
    </xf>
    <xf numFmtId="38" fontId="5" fillId="0" borderId="2" xfId="0" applyNumberFormat="1" applyFont="1" applyBorder="1" applyAlignment="1">
      <alignment vertical="top"/>
    </xf>
    <xf numFmtId="38" fontId="5" fillId="0" borderId="18" xfId="0" applyNumberFormat="1" applyFont="1" applyBorder="1" applyAlignment="1">
      <alignment vertical="top"/>
    </xf>
    <xf numFmtId="164" fontId="5" fillId="0" borderId="0" xfId="0" quotePrefix="1" applyNumberFormat="1" applyFont="1" applyAlignment="1">
      <alignment horizontal="left"/>
    </xf>
    <xf numFmtId="49" fontId="5" fillId="0" borderId="0" xfId="0" applyNumberFormat="1" applyFont="1" applyAlignment="1">
      <alignment horizontal="right"/>
    </xf>
    <xf numFmtId="0" fontId="38" fillId="5" borderId="0" xfId="8" applyFont="1" applyFill="1" applyAlignment="1" applyProtection="1">
      <alignment horizontal="left"/>
    </xf>
    <xf numFmtId="0" fontId="28" fillId="5" borderId="0" xfId="8" applyFill="1" applyAlignment="1" applyProtection="1">
      <alignment horizontal="left"/>
    </xf>
    <xf numFmtId="0" fontId="66" fillId="0" borderId="0" xfId="8" applyFont="1" applyAlignment="1" applyProtection="1">
      <alignment horizontal="left"/>
    </xf>
    <xf numFmtId="38" fontId="60" fillId="0" borderId="0" xfId="0" applyNumberFormat="1" applyFont="1"/>
    <xf numFmtId="164" fontId="5" fillId="0" borderId="0" xfId="0" quotePrefix="1" applyNumberFormat="1" applyFont="1" applyAlignment="1">
      <alignment horizontal="right"/>
    </xf>
    <xf numFmtId="38" fontId="25" fillId="0" borderId="2" xfId="0" applyNumberFormat="1" applyFont="1" applyBorder="1" applyAlignment="1">
      <alignment vertical="top"/>
    </xf>
    <xf numFmtId="38" fontId="25" fillId="0" borderId="3" xfId="0" applyNumberFormat="1" applyFont="1" applyBorder="1" applyAlignment="1">
      <alignment vertical="top"/>
    </xf>
    <xf numFmtId="0" fontId="10" fillId="0" borderId="0" xfId="0" applyFont="1" applyAlignment="1">
      <alignment horizontal="center"/>
    </xf>
    <xf numFmtId="0" fontId="43" fillId="0" borderId="0" xfId="0" applyFont="1" applyAlignment="1">
      <alignment horizontal="center"/>
    </xf>
    <xf numFmtId="164" fontId="12" fillId="5" borderId="0" xfId="8" quotePrefix="1" applyNumberFormat="1" applyFont="1" applyFill="1" applyAlignment="1" applyProtection="1">
      <alignment horizontal="right"/>
    </xf>
    <xf numFmtId="0" fontId="5" fillId="0" borderId="0" xfId="0" quotePrefix="1" applyFont="1"/>
    <xf numFmtId="49" fontId="5" fillId="0" borderId="0" xfId="0" quotePrefix="1" applyNumberFormat="1" applyFont="1" applyAlignment="1">
      <alignment horizontal="right"/>
    </xf>
    <xf numFmtId="38" fontId="25" fillId="0" borderId="15" xfId="0" applyNumberFormat="1" applyFont="1" applyBorder="1" applyAlignment="1">
      <alignment vertical="top"/>
    </xf>
    <xf numFmtId="49" fontId="5" fillId="0" borderId="0" xfId="0" quotePrefix="1" applyNumberFormat="1" applyFont="1"/>
    <xf numFmtId="0" fontId="5" fillId="6" borderId="0" xfId="0" applyFont="1" applyFill="1"/>
    <xf numFmtId="38" fontId="25" fillId="6" borderId="2" xfId="0" applyNumberFormat="1" applyFont="1" applyFill="1" applyBorder="1" applyAlignment="1">
      <alignment vertical="top"/>
    </xf>
    <xf numFmtId="42" fontId="5" fillId="0" borderId="0" xfId="0" applyNumberFormat="1" applyFont="1"/>
    <xf numFmtId="0" fontId="64" fillId="0" borderId="0" xfId="0" quotePrefix="1" applyFont="1" applyAlignment="1">
      <alignment horizontal="right"/>
    </xf>
    <xf numFmtId="168" fontId="5" fillId="0" borderId="0" xfId="0" applyNumberFormat="1" applyFont="1" applyAlignment="1">
      <alignment horizontal="left"/>
    </xf>
    <xf numFmtId="164" fontId="10" fillId="0" borderId="0" xfId="0" applyNumberFormat="1" applyFont="1" applyAlignment="1">
      <alignment horizontal="center"/>
    </xf>
    <xf numFmtId="164" fontId="5" fillId="0" borderId="0" xfId="0" applyNumberFormat="1" applyFont="1" applyAlignment="1">
      <alignment horizontal="right"/>
    </xf>
    <xf numFmtId="49" fontId="5" fillId="0" borderId="0" xfId="0" quotePrefix="1" applyNumberFormat="1" applyFont="1" applyAlignment="1">
      <alignment horizontal="left"/>
    </xf>
    <xf numFmtId="0" fontId="64" fillId="0" borderId="0" xfId="0" applyFont="1"/>
    <xf numFmtId="0" fontId="85" fillId="0" borderId="0" xfId="0" applyFont="1"/>
    <xf numFmtId="0" fontId="34" fillId="0" borderId="0" xfId="0" applyFont="1"/>
    <xf numFmtId="38" fontId="64" fillId="0" borderId="25" xfId="0" applyNumberFormat="1" applyFont="1" applyBorder="1"/>
    <xf numFmtId="49" fontId="64" fillId="0" borderId="0" xfId="0" quotePrefix="1" applyNumberFormat="1" applyFont="1" applyAlignment="1">
      <alignment horizontal="left"/>
    </xf>
    <xf numFmtId="0" fontId="25" fillId="0" borderId="0" xfId="0" applyFont="1" applyAlignment="1">
      <alignment horizontal="left"/>
    </xf>
    <xf numFmtId="0" fontId="25" fillId="0" borderId="0" xfId="0" applyFont="1" applyAlignment="1">
      <alignment horizontal="right" wrapText="1"/>
    </xf>
    <xf numFmtId="0" fontId="18" fillId="0" borderId="0" xfId="0" applyFont="1"/>
    <xf numFmtId="0" fontId="4" fillId="0" borderId="0" xfId="0" quotePrefix="1" applyFont="1"/>
    <xf numFmtId="0" fontId="5" fillId="0" borderId="0" xfId="0" applyFont="1" applyAlignment="1">
      <alignment horizontal="left" vertical="top"/>
    </xf>
    <xf numFmtId="37" fontId="5" fillId="0" borderId="4" xfId="0" applyNumberFormat="1" applyFont="1" applyBorder="1" applyAlignment="1">
      <alignment horizontal="left"/>
    </xf>
    <xf numFmtId="172" fontId="5" fillId="0" borderId="0" xfId="0" applyNumberFormat="1" applyFont="1"/>
    <xf numFmtId="0" fontId="5" fillId="6" borderId="0" xfId="2" applyNumberFormat="1" applyFont="1" applyFill="1" applyAlignment="1" applyProtection="1">
      <alignment horizontal="right"/>
    </xf>
    <xf numFmtId="42" fontId="5" fillId="6" borderId="0" xfId="2" applyNumberFormat="1" applyFont="1" applyFill="1" applyAlignment="1" applyProtection="1">
      <alignment horizontal="right"/>
    </xf>
    <xf numFmtId="0" fontId="6" fillId="6" borderId="0" xfId="0" applyFont="1" applyFill="1" applyAlignment="1">
      <alignment horizontal="right" wrapText="1"/>
    </xf>
    <xf numFmtId="0" fontId="4" fillId="6" borderId="0" xfId="0" applyFont="1" applyFill="1"/>
    <xf numFmtId="0" fontId="4" fillId="0" borderId="0" xfId="0" quotePrefix="1" applyFont="1" applyAlignment="1">
      <alignment horizontal="right"/>
    </xf>
    <xf numFmtId="0" fontId="12" fillId="6" borderId="0" xfId="8" quotePrefix="1" applyFont="1" applyFill="1" applyAlignment="1" applyProtection="1">
      <alignment horizontal="right"/>
    </xf>
    <xf numFmtId="2" fontId="25" fillId="6" borderId="0" xfId="0" applyNumberFormat="1" applyFont="1" applyFill="1" applyAlignment="1">
      <alignment horizontal="right"/>
    </xf>
    <xf numFmtId="37" fontId="25" fillId="6" borderId="0" xfId="0" applyNumberFormat="1" applyFont="1" applyFill="1" applyAlignment="1">
      <alignment horizontal="left"/>
    </xf>
    <xf numFmtId="37" fontId="31" fillId="6" borderId="0" xfId="0" applyNumberFormat="1" applyFont="1" applyFill="1" applyAlignment="1">
      <alignment horizontal="center"/>
    </xf>
    <xf numFmtId="37" fontId="25" fillId="6" borderId="0" xfId="0" applyNumberFormat="1" applyFont="1" applyFill="1" applyAlignment="1">
      <alignment horizontal="right"/>
    </xf>
    <xf numFmtId="170" fontId="25" fillId="6" borderId="0" xfId="0" applyNumberFormat="1" applyFont="1" applyFill="1" applyAlignment="1">
      <alignment horizontal="right"/>
    </xf>
    <xf numFmtId="0" fontId="5" fillId="6" borderId="0" xfId="0" applyFont="1" applyFill="1" applyAlignment="1">
      <alignment horizontal="right"/>
    </xf>
    <xf numFmtId="164" fontId="5" fillId="0" borderId="0" xfId="0" applyNumberFormat="1" applyFont="1" applyAlignment="1">
      <alignment horizontal="center"/>
    </xf>
    <xf numFmtId="0" fontId="5" fillId="6" borderId="0" xfId="0" quotePrefix="1" applyFont="1" applyFill="1" applyAlignment="1">
      <alignment horizontal="right"/>
    </xf>
    <xf numFmtId="0" fontId="5" fillId="0" borderId="0" xfId="0" applyFont="1" applyAlignment="1">
      <alignment horizontal="right" wrapText="1"/>
    </xf>
    <xf numFmtId="0" fontId="7" fillId="0" borderId="0" xfId="0" applyFont="1"/>
    <xf numFmtId="181" fontId="25" fillId="0" borderId="0" xfId="0" applyNumberFormat="1" applyFont="1" applyAlignment="1">
      <alignment horizontal="right"/>
    </xf>
    <xf numFmtId="37" fontId="7" fillId="0" borderId="0" xfId="0" applyNumberFormat="1" applyFont="1"/>
    <xf numFmtId="49" fontId="5" fillId="0" borderId="10" xfId="0" applyNumberFormat="1" applyFont="1" applyBorder="1" applyAlignment="1">
      <alignment horizontal="left"/>
    </xf>
    <xf numFmtId="0" fontId="5" fillId="0" borderId="10" xfId="0" applyFont="1" applyBorder="1" applyAlignment="1">
      <alignment horizontal="left"/>
    </xf>
    <xf numFmtId="0" fontId="5" fillId="0" borderId="10" xfId="0" applyFont="1" applyBorder="1"/>
    <xf numFmtId="0" fontId="10" fillId="0" borderId="10" xfId="0" applyFont="1" applyBorder="1" applyAlignment="1">
      <alignment horizontal="center"/>
    </xf>
    <xf numFmtId="0" fontId="7" fillId="0" borderId="20" xfId="0" applyFont="1" applyBorder="1"/>
    <xf numFmtId="49" fontId="7" fillId="0" borderId="35" xfId="0" applyNumberFormat="1" applyFont="1" applyBorder="1"/>
    <xf numFmtId="49" fontId="7" fillId="0" borderId="20" xfId="0" applyNumberFormat="1" applyFont="1" applyBorder="1" applyAlignment="1">
      <alignment horizontal="centerContinuous"/>
    </xf>
    <xf numFmtId="0" fontId="7" fillId="0" borderId="24" xfId="0" applyFont="1" applyBorder="1" applyAlignment="1">
      <alignment horizontal="centerContinuous"/>
    </xf>
    <xf numFmtId="0" fontId="7" fillId="0" borderId="24" xfId="0" applyFont="1" applyBorder="1" applyAlignment="1">
      <alignment horizontal="center" wrapText="1"/>
    </xf>
    <xf numFmtId="49" fontId="7" fillId="0" borderId="20" xfId="0" applyNumberFormat="1" applyFont="1" applyBorder="1" applyAlignment="1">
      <alignment horizontal="center"/>
    </xf>
    <xf numFmtId="0" fontId="7" fillId="0" borderId="24" xfId="0" applyFont="1" applyBorder="1" applyAlignment="1">
      <alignment horizontal="center"/>
    </xf>
    <xf numFmtId="0" fontId="7" fillId="0" borderId="0" xfId="0" applyFont="1" applyAlignment="1">
      <alignment horizontal="center"/>
    </xf>
    <xf numFmtId="0" fontId="7" fillId="0" borderId="34" xfId="0" applyFont="1" applyBorder="1" applyAlignment="1">
      <alignment horizontal="center"/>
    </xf>
    <xf numFmtId="0" fontId="7" fillId="0" borderId="26" xfId="0" applyFont="1" applyBorder="1"/>
    <xf numFmtId="37" fontId="7" fillId="0" borderId="2" xfId="0" applyNumberFormat="1" applyFont="1" applyBorder="1" applyAlignment="1">
      <alignment horizontal="right"/>
    </xf>
    <xf numFmtId="37" fontId="7" fillId="0" borderId="9" xfId="0" applyNumberFormat="1" applyFont="1" applyBorder="1" applyAlignment="1">
      <alignment horizontal="right"/>
    </xf>
    <xf numFmtId="49" fontId="39" fillId="0" borderId="0" xfId="8" applyNumberFormat="1" applyFont="1" applyAlignment="1" applyProtection="1">
      <alignment horizontal="right"/>
    </xf>
    <xf numFmtId="49" fontId="7" fillId="0" borderId="0" xfId="0" applyNumberFormat="1" applyFont="1" applyAlignment="1">
      <alignment horizontal="left"/>
    </xf>
    <xf numFmtId="0" fontId="0" fillId="0" borderId="0" xfId="0" applyAlignment="1">
      <alignment horizontal="left"/>
    </xf>
    <xf numFmtId="37" fontId="7" fillId="0" borderId="3" xfId="0" applyNumberFormat="1" applyFont="1" applyBorder="1" applyAlignment="1">
      <alignment horizontal="right"/>
    </xf>
    <xf numFmtId="49" fontId="74" fillId="0" borderId="0" xfId="0" applyNumberFormat="1" applyFont="1" applyAlignment="1">
      <alignment horizontal="left"/>
    </xf>
    <xf numFmtId="0" fontId="7" fillId="0" borderId="10" xfId="0" applyFont="1" applyBorder="1"/>
    <xf numFmtId="0" fontId="16" fillId="0" borderId="0" xfId="0" applyFont="1" applyAlignment="1">
      <alignment vertical="top" wrapText="1"/>
    </xf>
    <xf numFmtId="0" fontId="9" fillId="2" borderId="0" xfId="13" applyFont="1"/>
    <xf numFmtId="37" fontId="7" fillId="0" borderId="19" xfId="0" applyNumberFormat="1" applyFont="1" applyBorder="1" applyAlignment="1">
      <alignment horizontal="right"/>
    </xf>
    <xf numFmtId="0" fontId="81" fillId="0" borderId="0" xfId="0" applyFont="1"/>
    <xf numFmtId="0" fontId="82" fillId="0" borderId="0" xfId="0" applyFont="1"/>
    <xf numFmtId="0" fontId="82" fillId="0" borderId="0" xfId="0" applyFont="1" applyAlignment="1">
      <alignment horizontal="right"/>
    </xf>
    <xf numFmtId="37" fontId="82" fillId="0" borderId="0" xfId="0" applyNumberFormat="1" applyFont="1" applyAlignment="1">
      <alignment horizontal="right"/>
    </xf>
    <xf numFmtId="0" fontId="82" fillId="2" borderId="0" xfId="13" applyFont="1"/>
    <xf numFmtId="0" fontId="7" fillId="0" borderId="0" xfId="0" applyFont="1" applyBorder="1"/>
    <xf numFmtId="0" fontId="19" fillId="2" borderId="0" xfId="13"/>
    <xf numFmtId="0" fontId="9" fillId="0" borderId="0" xfId="13" quotePrefix="1" applyFont="1" applyFill="1" applyAlignment="1">
      <alignment horizontal="justify"/>
    </xf>
    <xf numFmtId="0" fontId="7" fillId="0" borderId="0" xfId="0" quotePrefix="1" applyFont="1"/>
    <xf numFmtId="0" fontId="4" fillId="0" borderId="0" xfId="0" applyFont="1" applyAlignment="1">
      <alignment wrapText="1"/>
    </xf>
    <xf numFmtId="0" fontId="0" fillId="0" borderId="0" xfId="0" applyBorder="1" applyAlignment="1">
      <alignment horizontal="left"/>
    </xf>
    <xf numFmtId="0" fontId="5" fillId="0" borderId="10" xfId="0" applyFont="1" applyBorder="1" applyAlignment="1">
      <alignment horizontal="center"/>
    </xf>
    <xf numFmtId="0" fontId="77" fillId="0" borderId="0" xfId="0" applyFont="1"/>
    <xf numFmtId="0" fontId="8" fillId="0" borderId="0" xfId="0" applyFont="1"/>
    <xf numFmtId="0" fontId="9" fillId="0" borderId="36" xfId="0" applyFont="1" applyBorder="1" applyAlignment="1">
      <alignment horizontal="center"/>
    </xf>
    <xf numFmtId="0" fontId="9" fillId="0" borderId="37" xfId="0" applyFont="1" applyBorder="1" applyAlignment="1">
      <alignment horizontal="centerContinuous"/>
    </xf>
    <xf numFmtId="0" fontId="13" fillId="2" borderId="37" xfId="0" applyFont="1" applyFill="1" applyBorder="1" applyAlignment="1">
      <alignment horizontal="centerContinuous"/>
    </xf>
    <xf numFmtId="0" fontId="5" fillId="0" borderId="15" xfId="0" applyFont="1" applyBorder="1" applyAlignment="1">
      <alignment horizontal="center"/>
    </xf>
    <xf numFmtId="0" fontId="9" fillId="0" borderId="5" xfId="0" applyFont="1" applyBorder="1" applyAlignment="1">
      <alignment horizontal="center" wrapText="1"/>
    </xf>
    <xf numFmtId="0" fontId="9" fillId="0" borderId="13" xfId="0" applyFont="1" applyBorder="1" applyAlignment="1">
      <alignment horizontal="center"/>
    </xf>
    <xf numFmtId="0" fontId="10" fillId="0" borderId="38" xfId="0" applyFont="1" applyBorder="1" applyAlignment="1">
      <alignment vertical="center"/>
    </xf>
    <xf numFmtId="0" fontId="10" fillId="0" borderId="37" xfId="0" applyFont="1" applyBorder="1"/>
    <xf numFmtId="49" fontId="9" fillId="0" borderId="4" xfId="0" quotePrefix="1" applyNumberFormat="1" applyFont="1" applyBorder="1" applyAlignment="1">
      <alignment horizontal="right"/>
    </xf>
    <xf numFmtId="37" fontId="9" fillId="0" borderId="3" xfId="0" applyNumberFormat="1" applyFont="1" applyBorder="1" applyAlignment="1">
      <alignment horizontal="right"/>
    </xf>
    <xf numFmtId="37" fontId="9" fillId="0" borderId="15" xfId="0" applyNumberFormat="1" applyFont="1" applyBorder="1" applyAlignment="1">
      <alignment horizontal="right"/>
    </xf>
    <xf numFmtId="49" fontId="9" fillId="0" borderId="26" xfId="0" quotePrefix="1" applyNumberFormat="1" applyFont="1" applyBorder="1" applyAlignment="1">
      <alignment horizontal="left"/>
    </xf>
    <xf numFmtId="0" fontId="10" fillId="0" borderId="26" xfId="0" applyFont="1" applyBorder="1" applyAlignment="1">
      <alignment vertical="center"/>
    </xf>
    <xf numFmtId="49" fontId="9" fillId="0" borderId="0" xfId="0" applyNumberFormat="1" applyFont="1"/>
    <xf numFmtId="37" fontId="9" fillId="0" borderId="15" xfId="0" applyNumberFormat="1" applyFont="1" applyBorder="1"/>
    <xf numFmtId="37" fontId="9" fillId="2" borderId="39" xfId="0" applyNumberFormat="1" applyFont="1" applyFill="1" applyBorder="1"/>
    <xf numFmtId="49" fontId="9" fillId="0" borderId="26" xfId="0" applyNumberFormat="1" applyFont="1" applyBorder="1" applyAlignment="1">
      <alignment horizontal="left"/>
    </xf>
    <xf numFmtId="49" fontId="9" fillId="0" borderId="0" xfId="0" quotePrefix="1" applyNumberFormat="1" applyFont="1" applyAlignment="1">
      <alignment horizontal="right"/>
    </xf>
    <xf numFmtId="37" fontId="9" fillId="0" borderId="31" xfId="0" applyNumberFormat="1" applyFont="1" applyBorder="1"/>
    <xf numFmtId="37" fontId="9" fillId="0" borderId="39" xfId="0" applyNumberFormat="1" applyFont="1" applyBorder="1"/>
    <xf numFmtId="37" fontId="9" fillId="0" borderId="5" xfId="0" applyNumberFormat="1" applyFont="1" applyBorder="1"/>
    <xf numFmtId="37" fontId="9" fillId="7" borderId="3" xfId="0" applyNumberFormat="1" applyFont="1" applyFill="1" applyBorder="1" applyAlignment="1">
      <alignment horizontal="right"/>
    </xf>
    <xf numFmtId="37" fontId="9" fillId="2" borderId="3" xfId="0" applyNumberFormat="1" applyFont="1" applyFill="1" applyBorder="1" applyAlignment="1">
      <alignment horizontal="right"/>
    </xf>
    <xf numFmtId="0" fontId="9" fillId="0" borderId="10" xfId="0" applyFont="1" applyBorder="1"/>
    <xf numFmtId="49" fontId="37" fillId="0" borderId="0" xfId="8" quotePrefix="1" applyNumberFormat="1" applyFont="1" applyAlignment="1" applyProtection="1">
      <alignment horizontal="right"/>
    </xf>
    <xf numFmtId="1" fontId="9" fillId="0" borderId="0" xfId="2" applyNumberFormat="1" applyFont="1" applyProtection="1"/>
    <xf numFmtId="42" fontId="9" fillId="0" borderId="0" xfId="2" applyNumberFormat="1" applyFont="1" applyProtection="1"/>
    <xf numFmtId="37" fontId="9" fillId="0" borderId="7" xfId="2" applyNumberFormat="1" applyFont="1" applyBorder="1" applyProtection="1"/>
    <xf numFmtId="0" fontId="74" fillId="0" borderId="0" xfId="0" applyFont="1" applyAlignment="1">
      <alignment vertical="top" wrapText="1"/>
    </xf>
    <xf numFmtId="42" fontId="9" fillId="0" borderId="0" xfId="0" applyNumberFormat="1" applyFont="1" applyBorder="1" applyAlignment="1">
      <alignment vertical="top" wrapText="1"/>
    </xf>
    <xf numFmtId="49" fontId="9" fillId="0" borderId="0" xfId="0" applyNumberFormat="1" applyFont="1" applyAlignment="1">
      <alignment horizontal="left" vertical="top"/>
    </xf>
    <xf numFmtId="37" fontId="9" fillId="0" borderId="0" xfId="4" applyNumberFormat="1" applyFont="1" applyAlignment="1" applyProtection="1">
      <alignment horizontal="left" vertical="top"/>
    </xf>
    <xf numFmtId="0" fontId="0" fillId="0" borderId="0" xfId="0" applyAlignment="1">
      <alignment horizontal="left" vertical="top"/>
    </xf>
    <xf numFmtId="37" fontId="9" fillId="0" borderId="0" xfId="0" applyNumberFormat="1" applyFont="1" applyAlignment="1">
      <alignment horizontal="left"/>
    </xf>
    <xf numFmtId="0" fontId="16" fillId="0" borderId="0" xfId="11" applyFont="1" applyAlignment="1">
      <alignment horizontal="centerContinuous"/>
    </xf>
    <xf numFmtId="37" fontId="14" fillId="2" borderId="0" xfId="11" applyNumberFormat="1" applyFont="1" applyFill="1" applyAlignment="1">
      <alignment horizontal="centerContinuous"/>
    </xf>
    <xf numFmtId="177" fontId="16" fillId="2" borderId="0" xfId="11" applyNumberFormat="1" applyFont="1" applyFill="1"/>
    <xf numFmtId="0" fontId="37" fillId="0" borderId="0" xfId="8" applyFont="1" applyAlignment="1" applyProtection="1">
      <alignment horizontal="center"/>
    </xf>
    <xf numFmtId="37" fontId="7" fillId="0" borderId="1" xfId="11" applyNumberFormat="1" applyFont="1" applyBorder="1"/>
    <xf numFmtId="37" fontId="7" fillId="0" borderId="33" xfId="11" applyNumberFormat="1" applyFont="1" applyBorder="1"/>
    <xf numFmtId="49" fontId="9" fillId="0" borderId="0" xfId="0" applyNumberFormat="1" applyFont="1" applyAlignment="1">
      <alignment horizontal="center"/>
    </xf>
    <xf numFmtId="37" fontId="16" fillId="0" borderId="26" xfId="11" applyNumberFormat="1" applyFont="1" applyBorder="1" applyAlignment="1">
      <alignment horizontal="left"/>
    </xf>
    <xf numFmtId="37" fontId="16" fillId="0" borderId="2" xfId="11" applyNumberFormat="1" applyFont="1" applyBorder="1" applyAlignment="1">
      <alignment horizontal="left"/>
    </xf>
    <xf numFmtId="37" fontId="7" fillId="0" borderId="16" xfId="11" applyNumberFormat="1" applyFont="1" applyBorder="1"/>
    <xf numFmtId="37" fontId="7" fillId="0" borderId="4" xfId="11" applyNumberFormat="1" applyFont="1" applyBorder="1"/>
    <xf numFmtId="37" fontId="7" fillId="0" borderId="34" xfId="11" applyNumberFormat="1" applyFont="1" applyBorder="1"/>
    <xf numFmtId="0" fontId="7" fillId="0" borderId="5" xfId="11" applyFont="1" applyBorder="1" applyAlignment="1">
      <alignment horizontal="center"/>
    </xf>
    <xf numFmtId="0" fontId="7" fillId="0" borderId="40" xfId="0" applyFont="1" applyBorder="1" applyAlignment="1">
      <alignment horizontal="center"/>
    </xf>
    <xf numFmtId="0" fontId="7" fillId="0" borderId="9" xfId="0" applyFont="1" applyBorder="1" applyAlignment="1">
      <alignment horizontal="center"/>
    </xf>
    <xf numFmtId="37" fontId="16" fillId="0" borderId="38" xfId="11" applyNumberFormat="1" applyFont="1" applyBorder="1"/>
    <xf numFmtId="37" fontId="7" fillId="0" borderId="37" xfId="11" applyNumberFormat="1" applyFont="1" applyBorder="1"/>
    <xf numFmtId="37" fontId="7" fillId="0" borderId="33" xfId="11" applyNumberFormat="1" applyFont="1" applyBorder="1" applyAlignment="1">
      <alignment horizontal="right"/>
    </xf>
    <xf numFmtId="37" fontId="7" fillId="0" borderId="34" xfId="11" applyNumberFormat="1" applyFont="1" applyBorder="1" applyAlignment="1">
      <alignment horizontal="right"/>
    </xf>
    <xf numFmtId="37" fontId="7" fillId="0" borderId="5" xfId="11" applyNumberFormat="1" applyFont="1" applyBorder="1" applyAlignment="1">
      <alignment horizontal="right"/>
    </xf>
    <xf numFmtId="37" fontId="7" fillId="0" borderId="40" xfId="11" applyNumberFormat="1" applyFont="1" applyBorder="1"/>
    <xf numFmtId="177" fontId="7" fillId="2" borderId="0" xfId="11" applyNumberFormat="1" applyFont="1" applyFill="1"/>
    <xf numFmtId="37" fontId="45" fillId="5" borderId="31" xfId="8" applyNumberFormat="1" applyFont="1" applyFill="1" applyBorder="1" applyProtection="1"/>
    <xf numFmtId="37" fontId="7" fillId="0" borderId="32" xfId="11" applyNumberFormat="1" applyFont="1" applyBorder="1" applyAlignment="1">
      <alignment horizontal="right"/>
    </xf>
    <xf numFmtId="37" fontId="7" fillId="2" borderId="32" xfId="11" applyNumberFormat="1" applyFont="1" applyFill="1" applyBorder="1" applyAlignment="1">
      <alignment horizontal="right"/>
    </xf>
    <xf numFmtId="177" fontId="7" fillId="0" borderId="41" xfId="11" applyNumberFormat="1" applyFont="1" applyBorder="1"/>
    <xf numFmtId="0" fontId="7" fillId="0" borderId="35" xfId="0" applyFont="1" applyBorder="1"/>
    <xf numFmtId="37" fontId="7" fillId="0" borderId="26" xfId="11" applyNumberFormat="1" applyFont="1" applyBorder="1"/>
    <xf numFmtId="37" fontId="7" fillId="0" borderId="2" xfId="11" quotePrefix="1" applyNumberFormat="1" applyFont="1" applyBorder="1" applyAlignment="1">
      <alignment horizontal="right"/>
    </xf>
    <xf numFmtId="37" fontId="7" fillId="0" borderId="23" xfId="11" applyNumberFormat="1" applyFont="1" applyBorder="1" applyAlignment="1">
      <alignment horizontal="right"/>
    </xf>
    <xf numFmtId="0" fontId="7" fillId="0" borderId="26" xfId="11" quotePrefix="1" applyFont="1" applyBorder="1"/>
    <xf numFmtId="37" fontId="61" fillId="0" borderId="26" xfId="11" applyNumberFormat="1" applyFont="1" applyBorder="1"/>
    <xf numFmtId="37" fontId="7" fillId="0" borderId="0" xfId="11" applyNumberFormat="1" applyFont="1"/>
    <xf numFmtId="37" fontId="7" fillId="0" borderId="15" xfId="11" applyNumberFormat="1" applyFont="1" applyBorder="1" applyAlignment="1">
      <alignment horizontal="right"/>
    </xf>
    <xf numFmtId="37" fontId="7" fillId="0" borderId="0" xfId="11" quotePrefix="1" applyNumberFormat="1" applyFont="1" applyAlignment="1">
      <alignment horizontal="right"/>
    </xf>
    <xf numFmtId="37" fontId="7" fillId="0" borderId="4" xfId="11" applyNumberFormat="1" applyFont="1" applyBorder="1" applyAlignment="1">
      <alignment horizontal="right"/>
    </xf>
    <xf numFmtId="37" fontId="7" fillId="0" borderId="0" xfId="11" applyNumberFormat="1" applyFont="1" applyAlignment="1">
      <alignment horizontal="right"/>
    </xf>
    <xf numFmtId="37" fontId="7" fillId="0" borderId="42" xfId="11" applyNumberFormat="1" applyFont="1" applyBorder="1" applyAlignment="1">
      <alignment horizontal="right"/>
    </xf>
    <xf numFmtId="0" fontId="7" fillId="0" borderId="19" xfId="0" applyFont="1" applyBorder="1"/>
    <xf numFmtId="37" fontId="7" fillId="8" borderId="3" xfId="11" applyNumberFormat="1" applyFont="1" applyFill="1" applyBorder="1" applyAlignment="1">
      <alignment horizontal="right"/>
    </xf>
    <xf numFmtId="3" fontId="9" fillId="6" borderId="0" xfId="11" applyNumberFormat="1" applyFont="1" applyFill="1" applyAlignment="1">
      <alignment horizontal="right"/>
    </xf>
    <xf numFmtId="3" fontId="97" fillId="6" borderId="0" xfId="11" applyNumberFormat="1" applyFont="1" applyFill="1" applyAlignment="1">
      <alignment horizontal="right"/>
    </xf>
    <xf numFmtId="3" fontId="97" fillId="0" borderId="0" xfId="11" applyNumberFormat="1" applyFont="1" applyAlignment="1">
      <alignment horizontal="right"/>
    </xf>
    <xf numFmtId="3" fontId="11" fillId="0" borderId="0" xfId="0" applyNumberFormat="1" applyFont="1" applyAlignment="1">
      <alignment horizontal="left"/>
    </xf>
    <xf numFmtId="0" fontId="13" fillId="0" borderId="0" xfId="0" applyFont="1" applyAlignment="1">
      <alignment horizontal="centerContinuous"/>
    </xf>
    <xf numFmtId="0" fontId="13" fillId="0" borderId="31" xfId="0" applyFont="1" applyBorder="1"/>
    <xf numFmtId="0" fontId="13" fillId="0" borderId="31" xfId="0" applyFont="1" applyBorder="1" applyAlignment="1">
      <alignment horizontal="centerContinuous"/>
    </xf>
    <xf numFmtId="0" fontId="13" fillId="0" borderId="33" xfId="0" applyFont="1" applyBorder="1" applyAlignment="1">
      <alignment horizontal="centerContinuous"/>
    </xf>
    <xf numFmtId="164" fontId="13" fillId="0" borderId="0" xfId="0" applyNumberFormat="1" applyFont="1"/>
    <xf numFmtId="164" fontId="23" fillId="0" borderId="0" xfId="0" applyNumberFormat="1" applyFont="1" applyAlignment="1">
      <alignment horizontal="centerContinuous"/>
    </xf>
    <xf numFmtId="0" fontId="13" fillId="0" borderId="26" xfId="0" applyFont="1" applyBorder="1"/>
    <xf numFmtId="0" fontId="13" fillId="0" borderId="0" xfId="0" applyFont="1" applyAlignment="1">
      <alignment horizontal="center"/>
    </xf>
    <xf numFmtId="0" fontId="13" fillId="0" borderId="2" xfId="0" applyFont="1" applyBorder="1" applyAlignment="1">
      <alignment horizontal="center"/>
    </xf>
    <xf numFmtId="0" fontId="13" fillId="0" borderId="26" xfId="0" applyFont="1" applyBorder="1" applyAlignment="1">
      <alignment horizontal="centerContinuous"/>
    </xf>
    <xf numFmtId="0" fontId="13" fillId="0" borderId="2" xfId="0" applyFont="1" applyBorder="1" applyAlignment="1">
      <alignment horizontal="centerContinuous"/>
    </xf>
    <xf numFmtId="0" fontId="13" fillId="0" borderId="0" xfId="0" applyFont="1"/>
    <xf numFmtId="0" fontId="13" fillId="0" borderId="0" xfId="0" applyFont="1" applyAlignment="1">
      <alignment horizontal="right"/>
    </xf>
    <xf numFmtId="37" fontId="9" fillId="0" borderId="38" xfId="0" applyNumberFormat="1" applyFont="1" applyBorder="1" applyAlignment="1">
      <alignment horizontal="right"/>
    </xf>
    <xf numFmtId="37" fontId="9" fillId="0" borderId="3" xfId="0" applyNumberFormat="1" applyFont="1" applyBorder="1"/>
    <xf numFmtId="0" fontId="13" fillId="0" borderId="0" xfId="0" applyFont="1" applyAlignment="1">
      <alignment horizontal="left"/>
    </xf>
    <xf numFmtId="0" fontId="23" fillId="0" borderId="0" xfId="0" applyFont="1"/>
    <xf numFmtId="0" fontId="37" fillId="5" borderId="0" xfId="8" applyFont="1" applyFill="1" applyAlignment="1" applyProtection="1">
      <alignment horizontal="right"/>
    </xf>
    <xf numFmtId="0" fontId="37" fillId="5" borderId="0" xfId="8" quotePrefix="1" applyFont="1" applyFill="1" applyAlignment="1" applyProtection="1">
      <alignment horizontal="right"/>
    </xf>
    <xf numFmtId="0" fontId="13" fillId="0" borderId="0" xfId="0" quotePrefix="1" applyFont="1" applyAlignment="1">
      <alignment horizontal="left"/>
    </xf>
    <xf numFmtId="0" fontId="13" fillId="0" borderId="0" xfId="0" quotePrefix="1" applyFont="1" applyAlignment="1">
      <alignment horizontal="right"/>
    </xf>
    <xf numFmtId="164" fontId="9" fillId="0" borderId="0" xfId="0" applyNumberFormat="1" applyFont="1" applyAlignment="1">
      <alignment horizontal="right"/>
    </xf>
    <xf numFmtId="0" fontId="9" fillId="0" borderId="0" xfId="0" quotePrefix="1" applyFont="1" applyAlignment="1">
      <alignment horizontal="left"/>
    </xf>
    <xf numFmtId="37" fontId="13" fillId="0" borderId="28" xfId="0" applyNumberFormat="1" applyFont="1" applyBorder="1" applyAlignment="1">
      <alignment horizontal="right"/>
    </xf>
    <xf numFmtId="0" fontId="63" fillId="0" borderId="0" xfId="0" applyFont="1" applyAlignment="1">
      <alignment horizontal="left"/>
    </xf>
    <xf numFmtId="49" fontId="63" fillId="0" borderId="0" xfId="0" applyNumberFormat="1" applyFont="1" applyAlignment="1">
      <alignment horizontal="right"/>
    </xf>
    <xf numFmtId="49" fontId="63" fillId="0" borderId="0" xfId="0" applyNumberFormat="1" applyFont="1" applyAlignment="1">
      <alignment horizontal="left"/>
    </xf>
    <xf numFmtId="49" fontId="63" fillId="0" borderId="0" xfId="0" quotePrefix="1" applyNumberFormat="1" applyFont="1" applyAlignment="1">
      <alignment horizontal="left"/>
    </xf>
    <xf numFmtId="49" fontId="37" fillId="5" borderId="0" xfId="8" quotePrefix="1" applyNumberFormat="1" applyFont="1" applyFill="1" applyAlignment="1" applyProtection="1">
      <alignment horizontal="right"/>
    </xf>
    <xf numFmtId="49" fontId="63" fillId="0" borderId="0" xfId="0" quotePrefix="1" applyNumberFormat="1" applyFont="1" applyAlignment="1">
      <alignment horizontal="right"/>
    </xf>
    <xf numFmtId="4" fontId="13" fillId="0" borderId="28" xfId="0" applyNumberFormat="1" applyFont="1" applyBorder="1" applyAlignment="1">
      <alignment horizontal="right"/>
    </xf>
    <xf numFmtId="37" fontId="13" fillId="0" borderId="43" xfId="0" applyNumberFormat="1" applyFont="1" applyBorder="1" applyAlignment="1">
      <alignment horizontal="right"/>
    </xf>
    <xf numFmtId="0" fontId="63" fillId="0" borderId="0" xfId="0" quotePrefix="1" applyFont="1" applyAlignment="1">
      <alignment horizontal="left"/>
    </xf>
    <xf numFmtId="37" fontId="13" fillId="0" borderId="0" xfId="0" applyNumberFormat="1" applyFont="1" applyAlignment="1">
      <alignment horizontal="right"/>
    </xf>
    <xf numFmtId="49" fontId="13" fillId="0" borderId="0" xfId="0" applyNumberFormat="1" applyFont="1" applyAlignment="1">
      <alignment horizontal="left"/>
    </xf>
    <xf numFmtId="42" fontId="9" fillId="0" borderId="0" xfId="0" applyNumberFormat="1" applyFont="1" applyAlignment="1">
      <alignment horizontal="right"/>
    </xf>
    <xf numFmtId="0" fontId="37" fillId="0" borderId="0" xfId="8" applyFont="1" applyAlignment="1" applyProtection="1">
      <alignment horizontal="right"/>
    </xf>
    <xf numFmtId="37" fontId="23" fillId="2" borderId="0" xfId="13" applyNumberFormat="1" applyFont="1" applyAlignment="1">
      <alignment horizontal="left"/>
    </xf>
    <xf numFmtId="37" fontId="23" fillId="2" borderId="0" xfId="13" applyNumberFormat="1" applyFont="1" applyAlignment="1">
      <alignment horizontal="center"/>
    </xf>
    <xf numFmtId="37" fontId="23" fillId="2" borderId="0" xfId="13" applyNumberFormat="1" applyFont="1" applyAlignment="1">
      <alignment horizontal="right"/>
    </xf>
    <xf numFmtId="37" fontId="13" fillId="2" borderId="4" xfId="13" applyNumberFormat="1" applyFont="1" applyBorder="1" applyAlignment="1">
      <alignment horizontal="center"/>
    </xf>
    <xf numFmtId="0" fontId="13" fillId="2" borderId="0" xfId="13" applyFont="1"/>
    <xf numFmtId="37" fontId="13" fillId="0" borderId="12" xfId="13" applyNumberFormat="1" applyFont="1" applyFill="1" applyBorder="1" applyAlignment="1">
      <alignment horizontal="center"/>
    </xf>
    <xf numFmtId="37" fontId="23" fillId="2" borderId="0" xfId="13" applyNumberFormat="1" applyFont="1" applyAlignment="1">
      <alignment horizontal="centerContinuous" vertical="top"/>
    </xf>
    <xf numFmtId="37" fontId="13" fillId="2" borderId="0" xfId="13" applyNumberFormat="1" applyFont="1" applyAlignment="1">
      <alignment horizontal="centerContinuous"/>
    </xf>
    <xf numFmtId="37" fontId="13" fillId="0" borderId="0" xfId="13" applyNumberFormat="1" applyFont="1" applyFill="1" applyAlignment="1">
      <alignment horizontal="centerContinuous"/>
    </xf>
    <xf numFmtId="0" fontId="9" fillId="2" borderId="0" xfId="13" applyFont="1" applyAlignment="1">
      <alignment horizontal="centerContinuous"/>
    </xf>
    <xf numFmtId="37" fontId="23" fillId="2" borderId="0" xfId="13" applyNumberFormat="1" applyFont="1" applyAlignment="1">
      <alignment vertical="top"/>
    </xf>
    <xf numFmtId="37" fontId="14" fillId="2" borderId="0" xfId="13" applyNumberFormat="1" applyFont="1" applyAlignment="1">
      <alignment horizontal="center"/>
    </xf>
    <xf numFmtId="0" fontId="14" fillId="2" borderId="0" xfId="13" applyFont="1" applyAlignment="1">
      <alignment horizontal="center"/>
    </xf>
    <xf numFmtId="37" fontId="23" fillId="2" borderId="0" xfId="13" applyNumberFormat="1" applyFont="1" applyAlignment="1">
      <alignment horizontal="centerContinuous"/>
    </xf>
    <xf numFmtId="37" fontId="24" fillId="2" borderId="0" xfId="13" applyNumberFormat="1" applyFont="1" applyAlignment="1">
      <alignment horizontal="center"/>
    </xf>
    <xf numFmtId="37" fontId="14" fillId="2" borderId="4" xfId="13" applyNumberFormat="1" applyFont="1" applyBorder="1" applyAlignment="1">
      <alignment horizontal="center"/>
    </xf>
    <xf numFmtId="0" fontId="14" fillId="2" borderId="4" xfId="13" applyFont="1" applyBorder="1" applyAlignment="1">
      <alignment horizontal="center"/>
    </xf>
    <xf numFmtId="0" fontId="19" fillId="0" borderId="0" xfId="13" applyFill="1"/>
    <xf numFmtId="37" fontId="63" fillId="0" borderId="0" xfId="13" applyNumberFormat="1" applyFont="1" applyFill="1" applyAlignment="1">
      <alignment horizontal="left"/>
    </xf>
    <xf numFmtId="37" fontId="13" fillId="0" borderId="0" xfId="13" applyNumberFormat="1" applyFont="1" applyFill="1"/>
    <xf numFmtId="8" fontId="13" fillId="2" borderId="0" xfId="13" applyNumberFormat="1" applyFont="1" applyAlignment="1">
      <alignment horizontal="right"/>
    </xf>
    <xf numFmtId="37" fontId="13" fillId="2" borderId="0" xfId="13" applyNumberFormat="1" applyFont="1" applyAlignment="1">
      <alignment horizontal="right"/>
    </xf>
    <xf numFmtId="37" fontId="13" fillId="2" borderId="4" xfId="13" applyNumberFormat="1" applyFont="1" applyBorder="1"/>
    <xf numFmtId="37" fontId="9" fillId="2" borderId="0" xfId="13" applyNumberFormat="1" applyFont="1"/>
    <xf numFmtId="37" fontId="9" fillId="2" borderId="4" xfId="13" applyNumberFormat="1" applyFont="1" applyBorder="1" applyAlignment="1">
      <alignment horizontal="right"/>
    </xf>
    <xf numFmtId="1" fontId="13" fillId="2" borderId="0" xfId="13" applyNumberFormat="1" applyFont="1" applyAlignment="1">
      <alignment horizontal="right"/>
    </xf>
    <xf numFmtId="37" fontId="37" fillId="0" borderId="0" xfId="8" applyNumberFormat="1" applyFont="1" applyAlignment="1" applyProtection="1">
      <alignment horizontal="left" vertical="top"/>
    </xf>
    <xf numFmtId="37" fontId="13" fillId="2" borderId="0" xfId="13" applyNumberFormat="1" applyFont="1" applyAlignment="1">
      <alignment horizontal="left"/>
    </xf>
    <xf numFmtId="37" fontId="13" fillId="2" borderId="1" xfId="13" applyNumberFormat="1" applyFont="1" applyBorder="1"/>
    <xf numFmtId="1" fontId="13" fillId="2" borderId="0" xfId="13" applyNumberFormat="1" applyFont="1" applyAlignment="1">
      <alignment horizontal="right" vertical="top"/>
    </xf>
    <xf numFmtId="1" fontId="13" fillId="2" borderId="0" xfId="13" applyNumberFormat="1" applyFont="1" applyAlignment="1">
      <alignment horizontal="left"/>
    </xf>
    <xf numFmtId="0" fontId="9" fillId="2" borderId="0" xfId="13" quotePrefix="1" applyFont="1"/>
    <xf numFmtId="49" fontId="37" fillId="5" borderId="0" xfId="8" applyNumberFormat="1" applyFont="1" applyFill="1" applyAlignment="1" applyProtection="1">
      <alignment horizontal="right" vertical="top"/>
    </xf>
    <xf numFmtId="37" fontId="37" fillId="5" borderId="0" xfId="8" applyNumberFormat="1" applyFont="1" applyFill="1" applyAlignment="1" applyProtection="1">
      <alignment horizontal="left" vertical="top"/>
    </xf>
    <xf numFmtId="0" fontId="37" fillId="0" borderId="0" xfId="0" applyFont="1"/>
    <xf numFmtId="37" fontId="13" fillId="0" borderId="1" xfId="13" applyNumberFormat="1" applyFont="1" applyFill="1" applyBorder="1"/>
    <xf numFmtId="37" fontId="37" fillId="5" borderId="0" xfId="8" applyNumberFormat="1" applyFont="1" applyFill="1" applyAlignment="1" applyProtection="1">
      <alignment horizontal="left"/>
    </xf>
    <xf numFmtId="37" fontId="13" fillId="0" borderId="4" xfId="13" applyNumberFormat="1" applyFont="1" applyFill="1" applyBorder="1"/>
    <xf numFmtId="37" fontId="13" fillId="2" borderId="10" xfId="13" applyNumberFormat="1" applyFont="1" applyBorder="1" applyAlignment="1">
      <alignment horizontal="right"/>
    </xf>
    <xf numFmtId="1" fontId="37" fillId="5" borderId="0" xfId="8" applyNumberFormat="1" applyFont="1" applyFill="1" applyAlignment="1" applyProtection="1">
      <alignment horizontal="right" vertical="top"/>
    </xf>
    <xf numFmtId="37" fontId="37" fillId="5" borderId="0" xfId="8" applyNumberFormat="1" applyFont="1" applyFill="1" applyProtection="1"/>
    <xf numFmtId="37" fontId="9" fillId="2" borderId="1" xfId="13" applyNumberFormat="1" applyFont="1" applyBorder="1"/>
    <xf numFmtId="1" fontId="37" fillId="5" borderId="0" xfId="8" applyNumberFormat="1" applyFont="1" applyFill="1" applyAlignment="1" applyProtection="1">
      <alignment horizontal="right"/>
    </xf>
    <xf numFmtId="37" fontId="13" fillId="2" borderId="0" xfId="13" applyNumberFormat="1" applyFont="1" applyAlignment="1">
      <alignment vertical="top"/>
    </xf>
    <xf numFmtId="37" fontId="9" fillId="2" borderId="0" xfId="13" applyNumberFormat="1" applyFont="1" applyAlignment="1">
      <alignment vertical="top"/>
    </xf>
    <xf numFmtId="0" fontId="19" fillId="2" borderId="0" xfId="13" applyAlignment="1">
      <alignment vertical="top"/>
    </xf>
    <xf numFmtId="1" fontId="13" fillId="2" borderId="0" xfId="13" applyNumberFormat="1" applyFont="1"/>
    <xf numFmtId="37" fontId="63" fillId="0" borderId="0" xfId="13" applyNumberFormat="1" applyFont="1" applyFill="1"/>
    <xf numFmtId="37" fontId="13" fillId="0" borderId="0" xfId="13" applyNumberFormat="1" applyFont="1" applyFill="1" applyAlignment="1">
      <alignment horizontal="left"/>
    </xf>
    <xf numFmtId="0" fontId="11" fillId="0" borderId="0" xfId="13" applyFont="1" applyFill="1"/>
    <xf numFmtId="37" fontId="13" fillId="0" borderId="0" xfId="13" applyNumberFormat="1" applyFont="1" applyFill="1" applyAlignment="1">
      <alignment horizontal="right"/>
    </xf>
    <xf numFmtId="37" fontId="9" fillId="2" borderId="20" xfId="13" applyNumberFormat="1" applyFont="1" applyBorder="1"/>
    <xf numFmtId="37" fontId="13" fillId="0" borderId="0" xfId="13" applyNumberFormat="1" applyFont="1" applyFill="1" applyAlignment="1">
      <alignment vertical="top"/>
    </xf>
    <xf numFmtId="0" fontId="9" fillId="0" borderId="0" xfId="13" quotePrefix="1" applyFont="1" applyFill="1" applyAlignment="1">
      <alignment wrapText="1"/>
    </xf>
    <xf numFmtId="37" fontId="13" fillId="0" borderId="0" xfId="13" applyNumberFormat="1" applyFont="1" applyFill="1" applyAlignment="1">
      <alignment horizontal="left" wrapText="1"/>
    </xf>
    <xf numFmtId="37" fontId="63" fillId="0" borderId="0" xfId="13" applyNumberFormat="1" applyFont="1" applyFill="1" applyAlignment="1">
      <alignment horizontal="left" vertical="top"/>
    </xf>
    <xf numFmtId="1" fontId="13" fillId="0" borderId="0" xfId="13" applyNumberFormat="1" applyFont="1" applyFill="1" applyAlignment="1">
      <alignment horizontal="right" vertical="top"/>
    </xf>
    <xf numFmtId="37" fontId="9" fillId="0" borderId="0" xfId="13" applyNumberFormat="1" applyFont="1" applyFill="1"/>
    <xf numFmtId="1" fontId="13" fillId="0" borderId="0" xfId="13" applyNumberFormat="1" applyFont="1" applyFill="1" applyAlignment="1">
      <alignment horizontal="right"/>
    </xf>
    <xf numFmtId="49" fontId="37" fillId="5" borderId="0" xfId="8" quotePrefix="1" applyNumberFormat="1" applyFont="1" applyFill="1" applyAlignment="1" applyProtection="1">
      <alignment horizontal="right" vertical="top"/>
    </xf>
    <xf numFmtId="37" fontId="13" fillId="0" borderId="20" xfId="13" quotePrefix="1" applyNumberFormat="1" applyFont="1" applyFill="1" applyBorder="1"/>
    <xf numFmtId="49" fontId="37" fillId="0" borderId="0" xfId="8" quotePrefix="1" applyNumberFormat="1" applyFont="1" applyAlignment="1" applyProtection="1">
      <alignment horizontal="right" vertical="top"/>
    </xf>
    <xf numFmtId="0" fontId="9" fillId="0" borderId="0" xfId="21" applyFont="1" applyFill="1" applyAlignment="1">
      <alignment vertical="top" wrapText="1"/>
    </xf>
    <xf numFmtId="37" fontId="13" fillId="0" borderId="0" xfId="13" quotePrefix="1" applyNumberFormat="1" applyFont="1" applyFill="1"/>
    <xf numFmtId="37" fontId="9" fillId="0" borderId="10" xfId="0" applyNumberFormat="1" applyFont="1" applyBorder="1"/>
    <xf numFmtId="0" fontId="9" fillId="0" borderId="0" xfId="21" quotePrefix="1" applyFont="1" applyFill="1" applyAlignment="1">
      <alignment horizontal="left" vertical="top" wrapText="1"/>
    </xf>
    <xf numFmtId="37" fontId="9" fillId="0" borderId="20" xfId="0" applyNumberFormat="1" applyFont="1" applyBorder="1"/>
    <xf numFmtId="0" fontId="63" fillId="0" borderId="0" xfId="0" applyFont="1" applyAlignment="1">
      <alignment vertical="top"/>
    </xf>
    <xf numFmtId="0" fontId="11" fillId="0" borderId="0" xfId="13" applyFont="1" applyFill="1" applyAlignment="1">
      <alignment wrapText="1"/>
    </xf>
    <xf numFmtId="37" fontId="9" fillId="0" borderId="0" xfId="13" applyNumberFormat="1" applyFont="1" applyFill="1" applyAlignment="1">
      <alignment horizontal="right"/>
    </xf>
    <xf numFmtId="0" fontId="26" fillId="0" borderId="0" xfId="0" applyFont="1" applyAlignment="1">
      <alignment wrapText="1"/>
    </xf>
    <xf numFmtId="1" fontId="13" fillId="2" borderId="0" xfId="13" quotePrefix="1" applyNumberFormat="1" applyFont="1" applyAlignment="1">
      <alignment horizontal="right" vertical="top"/>
    </xf>
    <xf numFmtId="37" fontId="4" fillId="0" borderId="0" xfId="0" applyNumberFormat="1" applyFont="1"/>
    <xf numFmtId="1" fontId="13" fillId="2" borderId="0" xfId="13" quotePrefix="1" applyNumberFormat="1" applyFont="1" applyAlignment="1">
      <alignment horizontal="right"/>
    </xf>
    <xf numFmtId="0" fontId="9" fillId="2" borderId="0" xfId="13" applyFont="1" applyAlignment="1">
      <alignment horizontal="right"/>
    </xf>
    <xf numFmtId="1" fontId="13" fillId="0" borderId="0" xfId="13" applyNumberFormat="1" applyFont="1" applyFill="1" applyAlignment="1">
      <alignment horizontal="left"/>
    </xf>
    <xf numFmtId="0" fontId="9" fillId="0" borderId="0" xfId="0" quotePrefix="1" applyFont="1" applyAlignment="1">
      <alignment wrapText="1"/>
    </xf>
    <xf numFmtId="49" fontId="9" fillId="2" borderId="0" xfId="13" quotePrefix="1" applyNumberFormat="1" applyFont="1" applyAlignment="1">
      <alignment horizontal="left"/>
    </xf>
    <xf numFmtId="0" fontId="11" fillId="0" borderId="0" xfId="13" applyFont="1" applyFill="1" applyAlignment="1">
      <alignment horizontal="right"/>
    </xf>
    <xf numFmtId="37" fontId="11" fillId="0" borderId="0" xfId="0" applyNumberFormat="1" applyFont="1" applyAlignment="1">
      <alignment horizontal="right"/>
    </xf>
    <xf numFmtId="1" fontId="13" fillId="0" borderId="0" xfId="13" quotePrefix="1" applyNumberFormat="1" applyFont="1" applyFill="1" applyAlignment="1">
      <alignment horizontal="left"/>
    </xf>
    <xf numFmtId="37" fontId="13" fillId="0" borderId="0" xfId="13" applyNumberFormat="1" applyFont="1" applyFill="1" applyAlignment="1">
      <alignment horizontal="justify" vertical="top" wrapText="1"/>
    </xf>
    <xf numFmtId="49" fontId="13" fillId="0" borderId="0" xfId="13" quotePrefix="1" applyNumberFormat="1" applyFont="1" applyFill="1" applyAlignment="1">
      <alignment horizontal="left" vertical="top"/>
    </xf>
    <xf numFmtId="1" fontId="13" fillId="0" borderId="0" xfId="13" quotePrefix="1" applyNumberFormat="1" applyFont="1" applyFill="1" applyAlignment="1">
      <alignment horizontal="left" vertical="top"/>
    </xf>
    <xf numFmtId="1" fontId="23" fillId="2" borderId="0" xfId="13" applyNumberFormat="1" applyFont="1"/>
    <xf numFmtId="49" fontId="9" fillId="6" borderId="0" xfId="13" applyNumberFormat="1" applyFont="1" applyFill="1" applyAlignment="1">
      <alignment horizontal="left" vertical="top"/>
    </xf>
    <xf numFmtId="37" fontId="13" fillId="0" borderId="0" xfId="13" applyNumberFormat="1" applyFont="1" applyFill="1" applyAlignment="1">
      <alignment vertical="top" wrapText="1"/>
    </xf>
    <xf numFmtId="37" fontId="13" fillId="0" borderId="0" xfId="13" quotePrefix="1" applyNumberFormat="1" applyFont="1" applyFill="1" applyAlignment="1">
      <alignment horizontal="left" vertical="top"/>
    </xf>
    <xf numFmtId="49" fontId="9" fillId="0" borderId="0" xfId="13" applyNumberFormat="1" applyFont="1" applyFill="1" applyAlignment="1">
      <alignment horizontal="left" vertical="top"/>
    </xf>
    <xf numFmtId="37" fontId="24" fillId="0" borderId="0" xfId="13" applyNumberFormat="1" applyFont="1" applyFill="1"/>
    <xf numFmtId="37" fontId="25" fillId="2" borderId="4" xfId="13" applyNumberFormat="1" applyFont="1" applyBorder="1" applyAlignment="1">
      <alignment horizontal="left"/>
    </xf>
    <xf numFmtId="37" fontId="25" fillId="2" borderId="4" xfId="13" applyNumberFormat="1" applyFont="1" applyBorder="1" applyAlignment="1">
      <alignment horizontal="center"/>
    </xf>
    <xf numFmtId="0" fontId="25" fillId="2" borderId="0" xfId="13" applyFont="1" applyAlignment="1">
      <alignment horizontal="left"/>
    </xf>
    <xf numFmtId="0" fontId="5" fillId="0" borderId="12" xfId="0" applyFont="1" applyBorder="1" applyAlignment="1">
      <alignment horizontal="center"/>
    </xf>
    <xf numFmtId="0" fontId="31" fillId="2" borderId="0" xfId="13" applyFont="1" applyAlignment="1">
      <alignment horizontal="centerContinuous"/>
    </xf>
    <xf numFmtId="0" fontId="25" fillId="2" borderId="0" xfId="13" applyFont="1" applyAlignment="1">
      <alignment horizontal="centerContinuous"/>
    </xf>
    <xf numFmtId="0" fontId="31" fillId="2" borderId="0" xfId="13" applyFont="1" applyAlignment="1">
      <alignment horizontal="centerContinuous" vertical="top"/>
    </xf>
    <xf numFmtId="0" fontId="10" fillId="2" borderId="0" xfId="13" applyFont="1" applyAlignment="1">
      <alignment horizontal="centerContinuous" vertical="top"/>
    </xf>
    <xf numFmtId="0" fontId="10" fillId="0" borderId="0" xfId="0" applyFont="1" applyAlignment="1">
      <alignment horizontal="centerContinuous" vertical="top"/>
    </xf>
    <xf numFmtId="0" fontId="5" fillId="0" borderId="0" xfId="0" applyFont="1" applyAlignment="1">
      <alignment horizontal="centerContinuous" vertical="top"/>
    </xf>
    <xf numFmtId="0" fontId="84" fillId="2" borderId="0" xfId="13" applyFont="1" applyAlignment="1">
      <alignment horizontal="right"/>
    </xf>
    <xf numFmtId="49" fontId="25" fillId="2" borderId="0" xfId="13" applyNumberFormat="1" applyFont="1" applyAlignment="1">
      <alignment horizontal="right"/>
    </xf>
    <xf numFmtId="0" fontId="5" fillId="0" borderId="0" xfId="13" applyFont="1" applyFill="1"/>
    <xf numFmtId="49" fontId="12" fillId="5" borderId="0" xfId="8" applyNumberFormat="1" applyFont="1" applyFill="1" applyAlignment="1" applyProtection="1">
      <alignment horizontal="right"/>
    </xf>
    <xf numFmtId="0" fontId="5" fillId="2" borderId="0" xfId="13" applyFont="1"/>
    <xf numFmtId="37" fontId="5" fillId="0" borderId="20" xfId="0" applyNumberFormat="1" applyFont="1" applyBorder="1"/>
    <xf numFmtId="37" fontId="5" fillId="0" borderId="10" xfId="0" applyNumberFormat="1" applyFont="1" applyBorder="1"/>
    <xf numFmtId="37" fontId="5" fillId="0" borderId="7" xfId="0" applyNumberFormat="1" applyFont="1" applyBorder="1"/>
    <xf numFmtId="37" fontId="5" fillId="0" borderId="7" xfId="0" applyNumberFormat="1" applyFont="1" applyBorder="1" applyAlignment="1">
      <alignment horizontal="right"/>
    </xf>
    <xf numFmtId="49" fontId="12" fillId="5" borderId="0" xfId="8" quotePrefix="1" applyNumberFormat="1" applyFont="1" applyFill="1" applyAlignment="1" applyProtection="1">
      <alignment horizontal="right"/>
    </xf>
    <xf numFmtId="0" fontId="2" fillId="0" borderId="0" xfId="0" applyFont="1" applyAlignment="1">
      <alignment wrapText="1"/>
    </xf>
    <xf numFmtId="49" fontId="31" fillId="2" borderId="0" xfId="13" applyNumberFormat="1" applyFont="1" applyAlignment="1">
      <alignment horizontal="right"/>
    </xf>
    <xf numFmtId="0" fontId="2" fillId="0" borderId="0" xfId="0" applyFont="1" applyAlignment="1">
      <alignment horizontal="right"/>
    </xf>
    <xf numFmtId="0" fontId="2" fillId="0" borderId="0" xfId="0" applyFont="1" applyAlignment="1">
      <alignment horizontal="justify"/>
    </xf>
    <xf numFmtId="49" fontId="12" fillId="0" borderId="0" xfId="8" quotePrefix="1" applyNumberFormat="1" applyFont="1" applyAlignment="1" applyProtection="1">
      <alignment horizontal="right"/>
    </xf>
    <xf numFmtId="0" fontId="64" fillId="0" borderId="0" xfId="21" quotePrefix="1" applyFont="1" applyFill="1" applyAlignment="1">
      <alignment horizontal="right"/>
    </xf>
    <xf numFmtId="49" fontId="64" fillId="0" borderId="0" xfId="8" quotePrefix="1" applyNumberFormat="1" applyFont="1" applyAlignment="1" applyProtection="1">
      <alignment horizontal="right"/>
    </xf>
    <xf numFmtId="49" fontId="5" fillId="0" borderId="0" xfId="13" applyNumberFormat="1" applyFont="1" applyFill="1" applyAlignment="1">
      <alignment horizontal="right"/>
    </xf>
    <xf numFmtId="37" fontId="5" fillId="0" borderId="0" xfId="0" applyNumberFormat="1" applyFont="1"/>
    <xf numFmtId="0" fontId="25" fillId="0" borderId="0" xfId="13" applyFont="1" applyFill="1" applyAlignment="1">
      <alignment horizontal="right"/>
    </xf>
    <xf numFmtId="49" fontId="5" fillId="0" borderId="0" xfId="13" quotePrefix="1" applyNumberFormat="1" applyFont="1" applyFill="1" applyAlignment="1">
      <alignment horizontal="right"/>
    </xf>
    <xf numFmtId="37" fontId="5" fillId="0" borderId="44" xfId="0" applyNumberFormat="1" applyFont="1" applyBorder="1"/>
    <xf numFmtId="0" fontId="64" fillId="0" borderId="0" xfId="0" quotePrefix="1" applyFont="1" applyAlignment="1">
      <alignment vertical="top"/>
    </xf>
    <xf numFmtId="0" fontId="64" fillId="0" borderId="0" xfId="0" applyFont="1" applyAlignment="1">
      <alignment vertical="top"/>
    </xf>
    <xf numFmtId="49" fontId="83" fillId="0" borderId="0" xfId="13" applyNumberFormat="1" applyFont="1" applyFill="1" applyAlignment="1">
      <alignment horizontal="right"/>
    </xf>
    <xf numFmtId="0" fontId="83" fillId="0" borderId="0" xfId="0" quotePrefix="1" applyFont="1" applyAlignment="1">
      <alignment vertical="top"/>
    </xf>
    <xf numFmtId="0" fontId="83" fillId="0" borderId="0" xfId="0" applyFont="1" applyAlignment="1">
      <alignment vertical="top"/>
    </xf>
    <xf numFmtId="49" fontId="25" fillId="2" borderId="0" xfId="13" applyNumberFormat="1" applyFont="1" applyAlignment="1">
      <alignment horizontal="right" vertical="top"/>
    </xf>
    <xf numFmtId="49" fontId="25" fillId="0" borderId="0" xfId="13" applyNumberFormat="1" applyFont="1" applyFill="1" applyAlignment="1">
      <alignment horizontal="right" vertical="top"/>
    </xf>
    <xf numFmtId="0" fontId="5" fillId="0" borderId="0" xfId="13" applyFont="1" applyFill="1" applyAlignment="1">
      <alignment vertical="top"/>
    </xf>
    <xf numFmtId="0" fontId="0" fillId="0" borderId="0" xfId="0" applyAlignment="1">
      <alignment vertical="top"/>
    </xf>
    <xf numFmtId="0" fontId="6" fillId="0" borderId="0" xfId="0" applyFont="1" applyAlignment="1">
      <alignment horizontal="center"/>
    </xf>
    <xf numFmtId="0" fontId="17" fillId="0" borderId="0" xfId="0" applyFont="1"/>
    <xf numFmtId="0" fontId="9" fillId="0" borderId="31" xfId="0" applyFont="1" applyBorder="1" applyAlignment="1">
      <alignment horizontal="centerContinuous"/>
    </xf>
    <xf numFmtId="0" fontId="0" fillId="0" borderId="33" xfId="0" applyBorder="1" applyAlignment="1">
      <alignment horizontal="centerContinuous"/>
    </xf>
    <xf numFmtId="0" fontId="9" fillId="0" borderId="31" xfId="0" applyFont="1" applyBorder="1" applyAlignment="1">
      <alignment horizontal="center"/>
    </xf>
    <xf numFmtId="0" fontId="0" fillId="0" borderId="34" xfId="0" applyBorder="1" applyAlignment="1">
      <alignment horizontal="centerContinuous"/>
    </xf>
    <xf numFmtId="0" fontId="4" fillId="0" borderId="26" xfId="0" applyFont="1" applyBorder="1"/>
    <xf numFmtId="0" fontId="11" fillId="0" borderId="26" xfId="0" applyFont="1" applyBorder="1"/>
    <xf numFmtId="49" fontId="4" fillId="0" borderId="0" xfId="0" applyNumberFormat="1" applyFont="1"/>
    <xf numFmtId="49" fontId="4" fillId="0" borderId="0" xfId="0" applyNumberFormat="1" applyFont="1" applyAlignment="1">
      <alignment horizontal="left"/>
    </xf>
    <xf numFmtId="3" fontId="9" fillId="7" borderId="3" xfId="0" applyNumberFormat="1" applyFont="1" applyFill="1" applyBorder="1"/>
    <xf numFmtId="0" fontId="11" fillId="0" borderId="38" xfId="0" applyFont="1" applyBorder="1"/>
    <xf numFmtId="0" fontId="9" fillId="0" borderId="37" xfId="0" applyFont="1" applyBorder="1"/>
    <xf numFmtId="49" fontId="9" fillId="0" borderId="37" xfId="0" applyNumberFormat="1" applyFont="1" applyBorder="1" applyAlignment="1">
      <alignment horizontal="right"/>
    </xf>
    <xf numFmtId="3" fontId="9" fillId="7" borderId="3" xfId="0" applyNumberFormat="1" applyFont="1" applyFill="1" applyBorder="1" applyAlignment="1">
      <alignment horizontal="right"/>
    </xf>
    <xf numFmtId="49" fontId="4" fillId="0" borderId="33" xfId="0" applyNumberFormat="1" applyFont="1" applyBorder="1"/>
    <xf numFmtId="37" fontId="14" fillId="2" borderId="0" xfId="14" applyNumberFormat="1" applyFont="1" applyAlignment="1">
      <alignment horizontal="centerContinuous"/>
    </xf>
    <xf numFmtId="49" fontId="7" fillId="0" borderId="45" xfId="0" applyNumberFormat="1" applyFont="1" applyBorder="1" applyAlignment="1">
      <alignment horizontal="center"/>
    </xf>
    <xf numFmtId="37" fontId="22" fillId="2" borderId="0" xfId="14" applyNumberFormat="1" applyFont="1" applyAlignment="1">
      <alignment horizontal="centerContinuous"/>
    </xf>
    <xf numFmtId="0" fontId="73" fillId="0" borderId="0" xfId="0" applyFont="1"/>
    <xf numFmtId="0" fontId="21" fillId="2" borderId="0" xfId="14"/>
    <xf numFmtId="0" fontId="7" fillId="0" borderId="12" xfId="0" applyFont="1" applyBorder="1" applyAlignment="1">
      <alignment horizontal="center" wrapText="1"/>
    </xf>
    <xf numFmtId="0" fontId="16" fillId="2" borderId="0" xfId="14" applyFont="1" applyAlignment="1">
      <alignment horizontal="left"/>
    </xf>
    <xf numFmtId="0" fontId="16" fillId="2" borderId="0" xfId="14" applyFont="1" applyAlignment="1">
      <alignment horizontal="center"/>
    </xf>
    <xf numFmtId="0" fontId="73" fillId="2" borderId="0" xfId="13" applyFont="1"/>
    <xf numFmtId="0" fontId="87" fillId="2" borderId="0" xfId="13" applyFont="1"/>
    <xf numFmtId="0" fontId="7" fillId="2" borderId="0" xfId="14" applyFont="1"/>
    <xf numFmtId="37" fontId="15" fillId="2" borderId="0" xfId="14" applyNumberFormat="1" applyFont="1"/>
    <xf numFmtId="0" fontId="79" fillId="2" borderId="0" xfId="13" applyFont="1" applyAlignment="1">
      <alignment wrapText="1"/>
    </xf>
    <xf numFmtId="37" fontId="14" fillId="2" borderId="0" xfId="14" applyNumberFormat="1" applyFont="1"/>
    <xf numFmtId="0" fontId="45" fillId="5" borderId="46" xfId="8" applyFont="1" applyFill="1" applyBorder="1" applyProtection="1"/>
    <xf numFmtId="0" fontId="21" fillId="0" borderId="20" xfId="14" applyFill="1" applyBorder="1"/>
    <xf numFmtId="37" fontId="14" fillId="0" borderId="46" xfId="14" applyNumberFormat="1" applyFont="1" applyFill="1" applyBorder="1" applyAlignment="1">
      <alignment horizontal="left"/>
    </xf>
    <xf numFmtId="0" fontId="9" fillId="0" borderId="20" xfId="0" applyFont="1" applyBorder="1" applyAlignment="1">
      <alignment horizontal="left"/>
    </xf>
    <xf numFmtId="0" fontId="9" fillId="0" borderId="20" xfId="0" applyFont="1" applyBorder="1"/>
    <xf numFmtId="0" fontId="9" fillId="0" borderId="35" xfId="0" applyFont="1" applyBorder="1"/>
    <xf numFmtId="37" fontId="14" fillId="2" borderId="29" xfId="14" applyNumberFormat="1" applyFont="1" applyBorder="1"/>
    <xf numFmtId="0" fontId="21" fillId="0" borderId="0" xfId="14" applyFill="1"/>
    <xf numFmtId="0" fontId="7" fillId="0" borderId="0" xfId="0" applyFont="1" applyAlignment="1">
      <alignment horizontal="right"/>
    </xf>
    <xf numFmtId="38" fontId="7" fillId="0" borderId="47" xfId="0" applyNumberFormat="1" applyFont="1" applyBorder="1"/>
    <xf numFmtId="172" fontId="15" fillId="0" borderId="48" xfId="14" applyNumberFormat="1" applyFont="1" applyFill="1" applyBorder="1"/>
    <xf numFmtId="0" fontId="7" fillId="2" borderId="39" xfId="14" applyFont="1" applyBorder="1"/>
    <xf numFmtId="176" fontId="9" fillId="0" borderId="0" xfId="0" applyNumberFormat="1" applyFont="1" applyBorder="1"/>
    <xf numFmtId="37" fontId="15" fillId="0" borderId="29" xfId="14" applyNumberFormat="1" applyFont="1" applyFill="1" applyBorder="1" applyAlignment="1">
      <alignment horizontal="left"/>
    </xf>
    <xf numFmtId="37" fontId="7" fillId="0" borderId="47" xfId="0" applyNumberFormat="1" applyFont="1" applyBorder="1"/>
    <xf numFmtId="37" fontId="14" fillId="2" borderId="46" xfId="14" applyNumberFormat="1" applyFont="1" applyBorder="1"/>
    <xf numFmtId="0" fontId="21" fillId="2" borderId="20" xfId="14" applyBorder="1"/>
    <xf numFmtId="9" fontId="7" fillId="0" borderId="47" xfId="1" applyFont="1" applyFill="1" applyBorder="1" applyProtection="1"/>
    <xf numFmtId="0" fontId="21" fillId="2" borderId="49" xfId="14" applyBorder="1"/>
    <xf numFmtId="0" fontId="7" fillId="2" borderId="0" xfId="14" applyFont="1" applyAlignment="1">
      <alignment horizontal="left"/>
    </xf>
    <xf numFmtId="0" fontId="16" fillId="2" borderId="29" xfId="14" applyFont="1" applyBorder="1"/>
    <xf numFmtId="37" fontId="15" fillId="2" borderId="15" xfId="14" applyNumberFormat="1" applyFont="1" applyBorder="1"/>
    <xf numFmtId="37" fontId="15" fillId="2" borderId="50" xfId="14" applyNumberFormat="1" applyFont="1" applyBorder="1"/>
    <xf numFmtId="37" fontId="61" fillId="2" borderId="9" xfId="15" applyNumberFormat="1" applyFont="1" applyBorder="1"/>
    <xf numFmtId="37" fontId="61" fillId="2" borderId="39" xfId="14" applyNumberFormat="1" applyFont="1" applyBorder="1"/>
    <xf numFmtId="37" fontId="15" fillId="2" borderId="9" xfId="14" applyNumberFormat="1" applyFont="1" applyBorder="1"/>
    <xf numFmtId="37" fontId="29" fillId="2" borderId="0" xfId="14" applyNumberFormat="1" applyFont="1" applyAlignment="1">
      <alignment horizontal="left" vertical="center"/>
    </xf>
    <xf numFmtId="0" fontId="0" fillId="0" borderId="10" xfId="0" applyBorder="1" applyAlignment="1">
      <alignment horizontal="left" vertical="center" wrapText="1"/>
    </xf>
    <xf numFmtId="37" fontId="29" fillId="2" borderId="10" xfId="14" applyNumberFormat="1" applyFont="1" applyBorder="1" applyAlignment="1">
      <alignment horizontal="left" vertical="center"/>
    </xf>
    <xf numFmtId="0" fontId="0" fillId="0" borderId="10" xfId="0" applyBorder="1"/>
    <xf numFmtId="37" fontId="14" fillId="2" borderId="2" xfId="14" applyNumberFormat="1" applyFont="1" applyBorder="1"/>
    <xf numFmtId="37" fontId="14" fillId="2" borderId="31" xfId="14" applyNumberFormat="1" applyFont="1" applyBorder="1"/>
    <xf numFmtId="37" fontId="14" fillId="2" borderId="1" xfId="14" applyNumberFormat="1" applyFont="1" applyBorder="1"/>
    <xf numFmtId="0" fontId="7" fillId="2" borderId="46" xfId="13" applyFont="1" applyBorder="1"/>
    <xf numFmtId="37" fontId="14" fillId="2" borderId="35" xfId="14" applyNumberFormat="1" applyFont="1" applyBorder="1" applyAlignment="1">
      <alignment horizontal="centerContinuous"/>
    </xf>
    <xf numFmtId="37" fontId="14" fillId="2" borderId="1" xfId="14" applyNumberFormat="1" applyFont="1" applyBorder="1" applyAlignment="1">
      <alignment horizontal="centerContinuous"/>
    </xf>
    <xf numFmtId="37" fontId="14" fillId="2" borderId="33" xfId="14" applyNumberFormat="1" applyFont="1" applyBorder="1" applyAlignment="1">
      <alignment horizontal="centerContinuous"/>
    </xf>
    <xf numFmtId="37" fontId="14" fillId="2" borderId="15" xfId="14" applyNumberFormat="1" applyFont="1" applyBorder="1" applyAlignment="1">
      <alignment horizontal="center"/>
    </xf>
    <xf numFmtId="37" fontId="14" fillId="2" borderId="16" xfId="14" applyNumberFormat="1" applyFont="1" applyBorder="1" applyAlignment="1">
      <alignment horizontal="centerContinuous"/>
    </xf>
    <xf numFmtId="37" fontId="14" fillId="2" borderId="4" xfId="14" applyNumberFormat="1" applyFont="1" applyBorder="1" applyAlignment="1">
      <alignment horizontal="centerContinuous"/>
    </xf>
    <xf numFmtId="37" fontId="14" fillId="2" borderId="51" xfId="14" applyNumberFormat="1" applyFont="1" applyBorder="1" applyAlignment="1">
      <alignment horizontal="centerContinuous"/>
    </xf>
    <xf numFmtId="37" fontId="14" fillId="2" borderId="52" xfId="14" applyNumberFormat="1" applyFont="1" applyBorder="1" applyAlignment="1">
      <alignment horizontal="centerContinuous"/>
    </xf>
    <xf numFmtId="37" fontId="14" fillId="2" borderId="34" xfId="14" applyNumberFormat="1" applyFont="1" applyBorder="1" applyAlignment="1">
      <alignment horizontal="centerContinuous"/>
    </xf>
    <xf numFmtId="37" fontId="14" fillId="2" borderId="32" xfId="14" applyNumberFormat="1" applyFont="1" applyBorder="1" applyAlignment="1">
      <alignment horizontal="center"/>
    </xf>
    <xf numFmtId="37" fontId="15" fillId="0" borderId="15" xfId="14" applyNumberFormat="1" applyFont="1" applyFill="1" applyBorder="1"/>
    <xf numFmtId="37" fontId="14" fillId="2" borderId="0" xfId="14" applyNumberFormat="1" applyFont="1" applyAlignment="1">
      <alignment horizontal="left"/>
    </xf>
    <xf numFmtId="0" fontId="16" fillId="0" borderId="29" xfId="13" applyFont="1" applyFill="1" applyBorder="1"/>
    <xf numFmtId="37" fontId="15" fillId="2" borderId="3" xfId="14" applyNumberFormat="1" applyFont="1" applyBorder="1"/>
    <xf numFmtId="37" fontId="15" fillId="2" borderId="5" xfId="14" applyNumberFormat="1" applyFont="1" applyBorder="1"/>
    <xf numFmtId="165" fontId="15" fillId="2" borderId="3" xfId="14" applyNumberFormat="1" applyFont="1" applyBorder="1" applyAlignment="1">
      <alignment horizontal="right"/>
    </xf>
    <xf numFmtId="37" fontId="14" fillId="0" borderId="0" xfId="14" applyNumberFormat="1" applyFont="1" applyFill="1"/>
    <xf numFmtId="37" fontId="14" fillId="0" borderId="0" xfId="14" applyNumberFormat="1" applyFont="1" applyFill="1" applyAlignment="1">
      <alignment horizontal="left"/>
    </xf>
    <xf numFmtId="37" fontId="15" fillId="0" borderId="5" xfId="14" applyNumberFormat="1" applyFont="1" applyFill="1" applyBorder="1"/>
    <xf numFmtId="37" fontId="15" fillId="0" borderId="3" xfId="14" applyNumberFormat="1" applyFont="1" applyFill="1" applyBorder="1"/>
    <xf numFmtId="0" fontId="16" fillId="2" borderId="29" xfId="13" applyFont="1" applyBorder="1" applyAlignment="1">
      <alignment horizontal="left"/>
    </xf>
    <xf numFmtId="37" fontId="7" fillId="2" borderId="3" xfId="14" applyNumberFormat="1" applyFont="1" applyBorder="1"/>
    <xf numFmtId="0" fontId="16" fillId="2" borderId="0" xfId="14" applyFont="1"/>
    <xf numFmtId="0" fontId="16" fillId="0" borderId="0" xfId="14" applyFont="1" applyFill="1"/>
    <xf numFmtId="37" fontId="7" fillId="0" borderId="3" xfId="14" applyNumberFormat="1" applyFont="1" applyFill="1" applyBorder="1"/>
    <xf numFmtId="165" fontId="15" fillId="0" borderId="3" xfId="14" applyNumberFormat="1" applyFont="1" applyFill="1" applyBorder="1" applyAlignment="1">
      <alignment horizontal="right"/>
    </xf>
    <xf numFmtId="37" fontId="7" fillId="0" borderId="5" xfId="14" applyNumberFormat="1" applyFont="1" applyFill="1" applyBorder="1"/>
    <xf numFmtId="165" fontId="15" fillId="0" borderId="5" xfId="14" applyNumberFormat="1" applyFont="1" applyFill="1" applyBorder="1" applyAlignment="1">
      <alignment horizontal="right"/>
    </xf>
    <xf numFmtId="0" fontId="7" fillId="2" borderId="0" xfId="14" applyFont="1" applyAlignment="1">
      <alignment horizontal="centerContinuous"/>
    </xf>
    <xf numFmtId="37" fontId="15" fillId="2" borderId="0" xfId="14" applyNumberFormat="1" applyFont="1" applyAlignment="1">
      <alignment horizontal="right"/>
    </xf>
    <xf numFmtId="37" fontId="15" fillId="2" borderId="0" xfId="15" applyNumberFormat="1" applyFont="1" applyAlignment="1">
      <alignment horizontal="centerContinuous"/>
    </xf>
    <xf numFmtId="0" fontId="21" fillId="2" borderId="0" xfId="15"/>
    <xf numFmtId="0" fontId="7" fillId="2" borderId="33" xfId="15" applyFont="1" applyBorder="1"/>
    <xf numFmtId="37" fontId="14" fillId="2" borderId="31" xfId="15" applyNumberFormat="1" applyFont="1" applyBorder="1" applyAlignment="1">
      <alignment horizontal="center"/>
    </xf>
    <xf numFmtId="37" fontId="14" fillId="2" borderId="53" xfId="15" applyNumberFormat="1" applyFont="1" applyBorder="1" applyAlignment="1">
      <alignment horizontal="center"/>
    </xf>
    <xf numFmtId="49" fontId="7" fillId="2" borderId="0" xfId="15" applyNumberFormat="1" applyFont="1" applyAlignment="1">
      <alignment horizontal="center"/>
    </xf>
    <xf numFmtId="37" fontId="14" fillId="2" borderId="26" xfId="15" applyNumberFormat="1" applyFont="1" applyBorder="1" applyAlignment="1">
      <alignment horizontal="center"/>
    </xf>
    <xf numFmtId="37" fontId="14" fillId="2" borderId="54" xfId="15" applyNumberFormat="1" applyFont="1" applyBorder="1" applyAlignment="1">
      <alignment horizontal="center"/>
    </xf>
    <xf numFmtId="0" fontId="16" fillId="0" borderId="24" xfId="0" applyFont="1" applyBorder="1"/>
    <xf numFmtId="0" fontId="16" fillId="0" borderId="19" xfId="0" applyFont="1" applyBorder="1" applyAlignment="1">
      <alignment horizontal="center"/>
    </xf>
    <xf numFmtId="0" fontId="16" fillId="0" borderId="9" xfId="0" applyFont="1" applyBorder="1" applyAlignment="1">
      <alignment horizontal="center"/>
    </xf>
    <xf numFmtId="37" fontId="14" fillId="2" borderId="16" xfId="15" applyNumberFormat="1" applyFont="1" applyBorder="1"/>
    <xf numFmtId="0" fontId="7" fillId="2" borderId="34" xfId="15" applyFont="1" applyBorder="1"/>
    <xf numFmtId="37" fontId="14" fillId="2" borderId="16" xfId="15" applyNumberFormat="1" applyFont="1" applyBorder="1" applyAlignment="1">
      <alignment horizontal="center"/>
    </xf>
    <xf numFmtId="37" fontId="14" fillId="2" borderId="5" xfId="15" applyNumberFormat="1" applyFont="1" applyBorder="1" applyAlignment="1">
      <alignment horizontal="center"/>
    </xf>
    <xf numFmtId="37" fontId="14" fillId="2" borderId="55" xfId="15" applyNumberFormat="1" applyFont="1" applyBorder="1" applyAlignment="1">
      <alignment horizontal="center"/>
    </xf>
    <xf numFmtId="0" fontId="7" fillId="0" borderId="56" xfId="0" applyFont="1" applyBorder="1"/>
    <xf numFmtId="3" fontId="7" fillId="2" borderId="19" xfId="15" applyNumberFormat="1" applyFont="1" applyBorder="1"/>
    <xf numFmtId="3" fontId="7" fillId="2" borderId="9" xfId="15" applyNumberFormat="1" applyFont="1" applyBorder="1"/>
    <xf numFmtId="0" fontId="7" fillId="0" borderId="0" xfId="15" applyFont="1" applyFill="1"/>
    <xf numFmtId="37" fontId="15" fillId="0" borderId="31" xfId="15" applyNumberFormat="1" applyFont="1" applyFill="1" applyBorder="1"/>
    <xf numFmtId="165" fontId="15" fillId="0" borderId="8" xfId="15" applyNumberFormat="1" applyFont="1" applyFill="1" applyBorder="1"/>
    <xf numFmtId="37" fontId="15" fillId="0" borderId="29" xfId="15" applyNumberFormat="1" applyFont="1" applyFill="1" applyBorder="1"/>
    <xf numFmtId="37" fontId="15" fillId="0" borderId="9" xfId="15" applyNumberFormat="1" applyFont="1" applyFill="1" applyBorder="1"/>
    <xf numFmtId="37" fontId="15" fillId="6" borderId="29" xfId="15" applyNumberFormat="1" applyFont="1" applyFill="1" applyBorder="1"/>
    <xf numFmtId="0" fontId="7" fillId="6" borderId="0" xfId="15" applyFont="1" applyFill="1"/>
    <xf numFmtId="37" fontId="15" fillId="2" borderId="57" xfId="15" applyNumberFormat="1" applyFont="1" applyBorder="1"/>
    <xf numFmtId="165" fontId="15" fillId="2" borderId="8" xfId="15" applyNumberFormat="1" applyFont="1" applyBorder="1"/>
    <xf numFmtId="0" fontId="65" fillId="0" borderId="49" xfId="15" applyFont="1" applyFill="1" applyBorder="1" applyAlignment="1">
      <alignment horizontal="center" vertical="center" wrapText="1"/>
    </xf>
    <xf numFmtId="0" fontId="7" fillId="0" borderId="29" xfId="0" applyFont="1" applyBorder="1"/>
    <xf numFmtId="0" fontId="7" fillId="0" borderId="49" xfId="0" applyFont="1" applyBorder="1"/>
    <xf numFmtId="0" fontId="61" fillId="0" borderId="56" xfId="0" applyFont="1" applyBorder="1"/>
    <xf numFmtId="37" fontId="15" fillId="2" borderId="32" xfId="15" applyNumberFormat="1" applyFont="1" applyBorder="1"/>
    <xf numFmtId="0" fontId="7" fillId="2" borderId="0" xfId="15" applyFont="1"/>
    <xf numFmtId="165" fontId="15" fillId="2" borderId="58" xfId="15" applyNumberFormat="1" applyFont="1" applyBorder="1"/>
    <xf numFmtId="0" fontId="7" fillId="0" borderId="56" xfId="0" applyFont="1" applyBorder="1" applyAlignment="1">
      <alignment horizontal="left"/>
    </xf>
    <xf numFmtId="38" fontId="15" fillId="2" borderId="32" xfId="15" applyNumberFormat="1" applyFont="1" applyBorder="1"/>
    <xf numFmtId="0" fontId="7" fillId="0" borderId="2" xfId="0" applyFont="1" applyBorder="1"/>
    <xf numFmtId="0" fontId="7" fillId="0" borderId="5" xfId="15" applyFont="1" applyFill="1" applyBorder="1"/>
    <xf numFmtId="165" fontId="15" fillId="0" borderId="58" xfId="15" applyNumberFormat="1" applyFont="1" applyFill="1" applyBorder="1"/>
    <xf numFmtId="37" fontId="14" fillId="2" borderId="0" xfId="15" applyNumberFormat="1" applyFont="1"/>
    <xf numFmtId="37" fontId="15" fillId="0" borderId="26" xfId="15" applyNumberFormat="1" applyFont="1" applyFill="1" applyBorder="1" applyAlignment="1">
      <alignment horizontal="left"/>
    </xf>
    <xf numFmtId="37" fontId="15" fillId="0" borderId="0" xfId="15" applyNumberFormat="1" applyFont="1" applyFill="1"/>
    <xf numFmtId="37" fontId="15" fillId="0" borderId="59" xfId="15" applyNumberFormat="1" applyFont="1" applyFill="1" applyBorder="1"/>
    <xf numFmtId="37" fontId="15" fillId="2" borderId="26" xfId="15" applyNumberFormat="1" applyFont="1" applyBorder="1"/>
    <xf numFmtId="37" fontId="15" fillId="2" borderId="0" xfId="15" applyNumberFormat="1" applyFont="1" applyAlignment="1">
      <alignment horizontal="left"/>
    </xf>
    <xf numFmtId="37" fontId="15" fillId="0" borderId="26" xfId="15" applyNumberFormat="1" applyFont="1" applyFill="1" applyBorder="1"/>
    <xf numFmtId="3" fontId="7" fillId="0" borderId="19" xfId="0" applyNumberFormat="1" applyFont="1" applyBorder="1"/>
    <xf numFmtId="3" fontId="7" fillId="0" borderId="9" xfId="0" applyNumberFormat="1" applyFont="1" applyBorder="1"/>
    <xf numFmtId="0" fontId="9" fillId="0" borderId="29" xfId="0" applyFont="1" applyBorder="1" applyAlignment="1">
      <alignment vertical="top" wrapText="1"/>
    </xf>
    <xf numFmtId="0" fontId="61" fillId="0" borderId="56" xfId="0" applyFont="1" applyBorder="1" applyAlignment="1">
      <alignment horizontal="left"/>
    </xf>
    <xf numFmtId="37" fontId="7" fillId="0" borderId="26" xfId="15" applyNumberFormat="1" applyFont="1" applyFill="1" applyBorder="1"/>
    <xf numFmtId="37" fontId="15" fillId="0" borderId="6" xfId="15" applyNumberFormat="1" applyFont="1" applyFill="1" applyBorder="1"/>
    <xf numFmtId="37" fontId="15" fillId="2" borderId="16" xfId="15" applyNumberFormat="1" applyFont="1" applyBorder="1" applyAlignment="1">
      <alignment horizontal="left"/>
    </xf>
    <xf numFmtId="37" fontId="15" fillId="2" borderId="4" xfId="15" applyNumberFormat="1" applyFont="1" applyBorder="1"/>
    <xf numFmtId="37" fontId="15" fillId="0" borderId="28" xfId="15" applyNumberFormat="1" applyFont="1" applyFill="1" applyBorder="1"/>
    <xf numFmtId="49" fontId="7" fillId="0" borderId="56" xfId="0" applyNumberFormat="1" applyFont="1" applyBorder="1" applyAlignment="1">
      <alignment horizontal="left"/>
    </xf>
    <xf numFmtId="37" fontId="14" fillId="0" borderId="5" xfId="15" applyNumberFormat="1" applyFont="1" applyFill="1" applyBorder="1" applyAlignment="1">
      <alignment horizontal="center" vertical="top" wrapText="1"/>
    </xf>
    <xf numFmtId="37" fontId="14" fillId="0" borderId="16" xfId="15" applyNumberFormat="1" applyFont="1" applyFill="1" applyBorder="1" applyAlignment="1">
      <alignment horizontal="center" wrapText="1"/>
    </xf>
    <xf numFmtId="37" fontId="14" fillId="0" borderId="16" xfId="15" applyNumberFormat="1" applyFont="1" applyFill="1" applyBorder="1" applyAlignment="1">
      <alignment horizontal="center"/>
    </xf>
    <xf numFmtId="37" fontId="15" fillId="2" borderId="31" xfId="15" applyNumberFormat="1" applyFont="1" applyBorder="1"/>
    <xf numFmtId="37" fontId="15" fillId="2" borderId="34" xfId="15" applyNumberFormat="1" applyFont="1" applyBorder="1"/>
    <xf numFmtId="0" fontId="7" fillId="0" borderId="17" xfId="0" applyFont="1" applyBorder="1" applyAlignment="1">
      <alignment horizontal="left"/>
    </xf>
    <xf numFmtId="3" fontId="7" fillId="2" borderId="7" xfId="15" applyNumberFormat="1" applyFont="1" applyBorder="1"/>
    <xf numFmtId="37" fontId="15" fillId="2" borderId="3" xfId="15" applyNumberFormat="1" applyFont="1" applyBorder="1" applyAlignment="1">
      <alignment horizontal="right"/>
    </xf>
    <xf numFmtId="37" fontId="15" fillId="2" borderId="38" xfId="15" applyNumberFormat="1" applyFont="1" applyBorder="1" applyAlignment="1">
      <alignment horizontal="center"/>
    </xf>
    <xf numFmtId="37" fontId="15" fillId="0" borderId="5" xfId="15" applyNumberFormat="1" applyFont="1" applyFill="1" applyBorder="1" applyAlignment="1">
      <alignment horizontal="right"/>
    </xf>
    <xf numFmtId="37" fontId="15" fillId="2" borderId="4" xfId="15" applyNumberFormat="1" applyFont="1" applyBorder="1" applyAlignment="1">
      <alignment horizontal="center"/>
    </xf>
    <xf numFmtId="37" fontId="15" fillId="2" borderId="26" xfId="15" applyNumberFormat="1" applyFont="1" applyBorder="1" applyAlignment="1">
      <alignment horizontal="center"/>
    </xf>
    <xf numFmtId="37" fontId="15" fillId="0" borderId="0" xfId="15" applyNumberFormat="1" applyFont="1" applyFill="1" applyAlignment="1">
      <alignment horizontal="right"/>
    </xf>
    <xf numFmtId="37" fontId="15" fillId="2" borderId="0" xfId="15" applyNumberFormat="1" applyFont="1" applyAlignment="1">
      <alignment horizontal="center"/>
    </xf>
    <xf numFmtId="37" fontId="15" fillId="2" borderId="37" xfId="15" applyNumberFormat="1" applyFont="1" applyBorder="1" applyAlignment="1">
      <alignment horizontal="center"/>
    </xf>
    <xf numFmtId="37" fontId="15" fillId="2" borderId="29" xfId="15" applyNumberFormat="1" applyFont="1" applyBorder="1"/>
    <xf numFmtId="0" fontId="7" fillId="2" borderId="0" xfId="15" applyFont="1" applyAlignment="1">
      <alignment horizontal="center"/>
    </xf>
    <xf numFmtId="37" fontId="15" fillId="2" borderId="29" xfId="15" applyNumberFormat="1" applyFont="1" applyBorder="1" applyAlignment="1">
      <alignment horizontal="center"/>
    </xf>
    <xf numFmtId="0" fontId="7" fillId="2" borderId="29" xfId="15" applyFont="1" applyBorder="1"/>
    <xf numFmtId="37" fontId="15" fillId="2" borderId="2" xfId="15" applyNumberFormat="1" applyFont="1" applyBorder="1" applyAlignment="1">
      <alignment horizontal="center"/>
    </xf>
    <xf numFmtId="49" fontId="15" fillId="2" borderId="0" xfId="15" applyNumberFormat="1" applyFont="1" applyAlignment="1">
      <alignment horizontal="centerContinuous"/>
    </xf>
    <xf numFmtId="167" fontId="15" fillId="2" borderId="0" xfId="15" applyNumberFormat="1" applyFont="1" applyAlignment="1">
      <alignment horizontal="right"/>
    </xf>
    <xf numFmtId="37" fontId="15" fillId="2" borderId="29" xfId="15" applyNumberFormat="1" applyFont="1" applyBorder="1" applyAlignment="1">
      <alignment horizontal="left"/>
    </xf>
    <xf numFmtId="0" fontId="7" fillId="2" borderId="0" xfId="15" applyFont="1" applyAlignment="1">
      <alignment horizontal="right"/>
    </xf>
    <xf numFmtId="37" fontId="15" fillId="2" borderId="51" xfId="15" applyNumberFormat="1" applyFont="1" applyBorder="1" applyAlignment="1">
      <alignment horizontal="left"/>
    </xf>
    <xf numFmtId="0" fontId="7" fillId="2" borderId="10" xfId="15" applyFont="1" applyBorder="1"/>
    <xf numFmtId="0" fontId="7" fillId="2" borderId="52" xfId="15" applyFont="1" applyBorder="1"/>
    <xf numFmtId="0" fontId="5" fillId="0" borderId="12" xfId="0" applyFont="1" applyBorder="1" applyAlignment="1">
      <alignment horizontal="centerContinuous"/>
    </xf>
    <xf numFmtId="0" fontId="11" fillId="0" borderId="0" xfId="0" applyFont="1" applyAlignment="1">
      <alignment horizontal="centerContinuous"/>
    </xf>
    <xf numFmtId="37" fontId="9" fillId="0" borderId="44" xfId="0" applyNumberFormat="1" applyFont="1" applyBorder="1" applyAlignment="1">
      <alignment vertical="center"/>
    </xf>
    <xf numFmtId="0" fontId="11" fillId="0" borderId="0" xfId="0" applyFont="1" applyAlignment="1">
      <alignment wrapText="1"/>
    </xf>
    <xf numFmtId="49" fontId="9" fillId="0" borderId="0" xfId="0" quotePrefix="1" applyNumberFormat="1" applyFont="1" applyAlignment="1">
      <alignment horizontal="right" vertical="top"/>
    </xf>
    <xf numFmtId="174" fontId="9" fillId="0" borderId="10" xfId="0" applyNumberFormat="1" applyFont="1" applyBorder="1"/>
    <xf numFmtId="0" fontId="11" fillId="0" borderId="0" xfId="0" applyFont="1" applyAlignment="1">
      <alignment vertical="center"/>
    </xf>
    <xf numFmtId="0" fontId="37" fillId="5" borderId="0" xfId="8" applyFont="1" applyFill="1" applyAlignment="1" applyProtection="1">
      <alignment vertical="top"/>
    </xf>
    <xf numFmtId="37" fontId="9" fillId="0" borderId="10" xfId="4" applyNumberFormat="1" applyFont="1" applyBorder="1" applyProtection="1"/>
    <xf numFmtId="175" fontId="9" fillId="0" borderId="0" xfId="0" applyNumberFormat="1" applyFont="1"/>
    <xf numFmtId="49" fontId="9" fillId="0" borderId="0" xfId="0" quotePrefix="1" applyNumberFormat="1" applyFont="1"/>
    <xf numFmtId="174" fontId="9" fillId="0" borderId="7" xfId="0" applyNumberFormat="1" applyFont="1" applyBorder="1"/>
    <xf numFmtId="0" fontId="9" fillId="0" borderId="0" xfId="0" quotePrefix="1" applyFont="1" applyAlignment="1">
      <alignment horizontal="right" vertical="top"/>
    </xf>
    <xf numFmtId="0" fontId="11" fillId="0" borderId="10" xfId="0" applyFont="1" applyBorder="1" applyAlignment="1">
      <alignment horizontal="center"/>
    </xf>
    <xf numFmtId="0" fontId="9" fillId="9" borderId="60" xfId="0" applyFont="1" applyFill="1" applyBorder="1"/>
    <xf numFmtId="0" fontId="9" fillId="9" borderId="61" xfId="0" applyFont="1" applyFill="1" applyBorder="1"/>
    <xf numFmtId="0" fontId="9" fillId="9" borderId="62" xfId="0" applyFont="1" applyFill="1" applyBorder="1"/>
    <xf numFmtId="0" fontId="9" fillId="9" borderId="63" xfId="0" applyFont="1" applyFill="1" applyBorder="1"/>
    <xf numFmtId="0" fontId="9" fillId="9" borderId="64" xfId="0" applyFont="1" applyFill="1" applyBorder="1"/>
    <xf numFmtId="49" fontId="9" fillId="0" borderId="9" xfId="0" applyNumberFormat="1" applyFont="1" applyBorder="1" applyAlignment="1">
      <alignment horizontal="center"/>
    </xf>
    <xf numFmtId="49" fontId="9" fillId="0" borderId="22" xfId="0" applyNumberFormat="1" applyFont="1" applyBorder="1" applyAlignment="1">
      <alignment horizontal="center"/>
    </xf>
    <xf numFmtId="0" fontId="9" fillId="0" borderId="9" xfId="0" applyFont="1" applyBorder="1" applyAlignment="1">
      <alignment horizontal="center"/>
    </xf>
    <xf numFmtId="0" fontId="95" fillId="0" borderId="29" xfId="0" applyFont="1" applyBorder="1"/>
    <xf numFmtId="0" fontId="72" fillId="5" borderId="0" xfId="8" quotePrefix="1" applyFont="1" applyFill="1" applyProtection="1"/>
    <xf numFmtId="174" fontId="9" fillId="10" borderId="9" xfId="0" applyNumberFormat="1" applyFont="1" applyFill="1" applyBorder="1" applyAlignment="1">
      <alignment horizontal="center"/>
    </xf>
    <xf numFmtId="174" fontId="9" fillId="10" borderId="22" xfId="0" applyNumberFormat="1" applyFont="1" applyFill="1" applyBorder="1" applyAlignment="1">
      <alignment horizontal="center"/>
    </xf>
    <xf numFmtId="174" fontId="9" fillId="0" borderId="9" xfId="0" applyNumberFormat="1" applyFont="1" applyBorder="1" applyAlignment="1">
      <alignment horizontal="right"/>
    </xf>
    <xf numFmtId="174" fontId="9" fillId="0" borderId="9" xfId="0" applyNumberFormat="1" applyFont="1" applyBorder="1"/>
    <xf numFmtId="174" fontId="9" fillId="0" borderId="22" xfId="0" applyNumberFormat="1" applyFont="1" applyBorder="1"/>
    <xf numFmtId="0" fontId="70" fillId="2" borderId="0" xfId="17" applyFont="1"/>
    <xf numFmtId="0" fontId="71" fillId="0" borderId="0" xfId="0" quotePrefix="1" applyFont="1"/>
    <xf numFmtId="0" fontId="72" fillId="0" borderId="0" xfId="0" applyFont="1"/>
    <xf numFmtId="174" fontId="9" fillId="10" borderId="9" xfId="0" applyNumberFormat="1" applyFont="1" applyFill="1" applyBorder="1"/>
    <xf numFmtId="0" fontId="9" fillId="0" borderId="10" xfId="0" applyFont="1" applyBorder="1" applyAlignment="1">
      <alignment vertical="top" wrapText="1"/>
    </xf>
    <xf numFmtId="0" fontId="9" fillId="0" borderId="52" xfId="0" applyFont="1" applyBorder="1" applyAlignment="1">
      <alignment vertical="top" wrapText="1"/>
    </xf>
    <xf numFmtId="0" fontId="11" fillId="0" borderId="9" xfId="0" applyFont="1" applyBorder="1" applyAlignment="1">
      <alignment horizontal="center" wrapText="1"/>
    </xf>
    <xf numFmtId="0" fontId="9" fillId="0" borderId="22" xfId="0" applyFont="1" applyBorder="1" applyAlignment="1">
      <alignment vertical="top"/>
    </xf>
    <xf numFmtId="0" fontId="9" fillId="0" borderId="7" xfId="0" applyFont="1" applyBorder="1"/>
    <xf numFmtId="166" fontId="9" fillId="0" borderId="0" xfId="0" applyNumberFormat="1" applyFont="1" applyAlignment="1">
      <alignment horizontal="right" wrapText="1"/>
    </xf>
    <xf numFmtId="0" fontId="37" fillId="5" borderId="0" xfId="8" quotePrefix="1" applyFont="1" applyFill="1" applyProtection="1"/>
    <xf numFmtId="0" fontId="9" fillId="3" borderId="22" xfId="0" applyFont="1" applyFill="1" applyBorder="1" applyAlignment="1">
      <alignment vertical="top"/>
    </xf>
    <xf numFmtId="0" fontId="9" fillId="3" borderId="7" xfId="0" applyFont="1" applyFill="1" applyBorder="1"/>
    <xf numFmtId="166" fontId="9" fillId="0" borderId="0" xfId="0" applyNumberFormat="1" applyFont="1" applyAlignment="1">
      <alignment horizontal="right"/>
    </xf>
    <xf numFmtId="166" fontId="9" fillId="0" borderId="0" xfId="0" applyNumberFormat="1" applyFont="1"/>
    <xf numFmtId="0" fontId="59" fillId="0" borderId="0" xfId="0" applyFont="1"/>
    <xf numFmtId="0" fontId="9" fillId="4" borderId="7" xfId="0" applyFont="1" applyFill="1" applyBorder="1"/>
    <xf numFmtId="0" fontId="63" fillId="0" borderId="10" xfId="0" applyFont="1" applyBorder="1"/>
    <xf numFmtId="0" fontId="63" fillId="4" borderId="51" xfId="0" applyFont="1" applyFill="1" applyBorder="1" applyAlignment="1">
      <alignment vertical="top"/>
    </xf>
    <xf numFmtId="0" fontId="63" fillId="4" borderId="10" xfId="0" applyFont="1" applyFill="1" applyBorder="1"/>
    <xf numFmtId="0" fontId="9" fillId="0" borderId="29" xfId="0" applyFont="1" applyBorder="1"/>
    <xf numFmtId="0" fontId="63" fillId="0" borderId="0" xfId="0" quotePrefix="1" applyFont="1"/>
    <xf numFmtId="0" fontId="63" fillId="0" borderId="51" xfId="0" applyFont="1" applyBorder="1"/>
    <xf numFmtId="174" fontId="63" fillId="0" borderId="9" xfId="0" applyNumberFormat="1" applyFont="1" applyBorder="1" applyAlignment="1">
      <alignment horizontal="right" vertical="top"/>
    </xf>
    <xf numFmtId="2" fontId="9" fillId="0" borderId="0" xfId="0" applyNumberFormat="1" applyFont="1" applyAlignment="1">
      <alignment horizontal="right"/>
    </xf>
    <xf numFmtId="2" fontId="9" fillId="0" borderId="0" xfId="0" applyNumberFormat="1" applyFont="1"/>
    <xf numFmtId="16" fontId="9" fillId="0" borderId="0" xfId="0" quotePrefix="1" applyNumberFormat="1" applyFont="1"/>
    <xf numFmtId="7" fontId="9" fillId="0" borderId="24" xfId="0" applyNumberFormat="1" applyFont="1" applyBorder="1"/>
    <xf numFmtId="0" fontId="9" fillId="3" borderId="22" xfId="0" applyFont="1" applyFill="1" applyBorder="1"/>
    <xf numFmtId="0" fontId="9" fillId="3" borderId="7" xfId="0" applyFont="1" applyFill="1" applyBorder="1" applyAlignment="1">
      <alignment horizontal="right"/>
    </xf>
    <xf numFmtId="0" fontId="9" fillId="0" borderId="22" xfId="0" applyFont="1" applyBorder="1"/>
    <xf numFmtId="0" fontId="9" fillId="0" borderId="7" xfId="0" applyFont="1" applyBorder="1" applyAlignment="1">
      <alignment horizontal="right"/>
    </xf>
    <xf numFmtId="7" fontId="9" fillId="0" borderId="9" xfId="0" applyNumberFormat="1" applyFont="1" applyBorder="1"/>
    <xf numFmtId="0" fontId="9" fillId="0" borderId="0" xfId="8" quotePrefix="1" applyFont="1" applyFill="1" applyAlignment="1" applyProtection="1">
      <alignment horizontal="left"/>
    </xf>
    <xf numFmtId="0" fontId="9" fillId="0" borderId="19" xfId="0" applyFont="1" applyBorder="1" applyAlignment="1">
      <alignment horizontal="right"/>
    </xf>
    <xf numFmtId="0" fontId="9" fillId="0" borderId="7" xfId="0" applyFont="1" applyBorder="1" applyAlignment="1">
      <alignment vertical="top"/>
    </xf>
    <xf numFmtId="39" fontId="9" fillId="0" borderId="9" xfId="0" applyNumberFormat="1" applyFont="1" applyBorder="1"/>
    <xf numFmtId="0" fontId="32" fillId="0" borderId="0" xfId="8" quotePrefix="1" applyFont="1" applyProtection="1"/>
    <xf numFmtId="0" fontId="32" fillId="5" borderId="0" xfId="8" applyFont="1" applyFill="1" applyProtection="1"/>
    <xf numFmtId="0" fontId="9" fillId="0" borderId="22" xfId="0" applyFont="1" applyBorder="1" applyAlignment="1">
      <alignment horizontal="left"/>
    </xf>
    <xf numFmtId="39" fontId="9" fillId="0" borderId="7" xfId="0" applyNumberFormat="1" applyFont="1" applyBorder="1"/>
    <xf numFmtId="39" fontId="9" fillId="0" borderId="0" xfId="0" applyNumberFormat="1" applyFont="1"/>
    <xf numFmtId="0" fontId="9" fillId="3" borderId="22" xfId="0" applyFont="1" applyFill="1" applyBorder="1" applyAlignment="1">
      <alignment horizontal="left"/>
    </xf>
    <xf numFmtId="39" fontId="9" fillId="3" borderId="7" xfId="0" applyNumberFormat="1" applyFont="1" applyFill="1" applyBorder="1"/>
    <xf numFmtId="0" fontId="9" fillId="3" borderId="19" xfId="0" applyFont="1" applyFill="1" applyBorder="1" applyAlignment="1">
      <alignment horizontal="right"/>
    </xf>
    <xf numFmtId="49" fontId="9" fillId="0" borderId="22" xfId="0" applyNumberFormat="1" applyFont="1" applyBorder="1" applyAlignment="1">
      <alignment horizontal="left"/>
    </xf>
    <xf numFmtId="0" fontId="9" fillId="0" borderId="7" xfId="0" applyFont="1" applyBorder="1" applyAlignment="1">
      <alignment horizontal="left"/>
    </xf>
    <xf numFmtId="0" fontId="32" fillId="0" borderId="0" xfId="8" quotePrefix="1" applyFont="1" applyFill="1" applyProtection="1"/>
    <xf numFmtId="0" fontId="9" fillId="0" borderId="0" xfId="0" quotePrefix="1" applyFont="1" applyAlignment="1">
      <alignment vertical="top"/>
    </xf>
    <xf numFmtId="0" fontId="53" fillId="0" borderId="0" xfId="0" applyFont="1" applyBorder="1" applyAlignment="1">
      <alignment horizontal="left" vertical="center"/>
    </xf>
    <xf numFmtId="0" fontId="9" fillId="3" borderId="0" xfId="0" applyFont="1" applyFill="1" applyAlignment="1">
      <alignment horizontal="right"/>
    </xf>
    <xf numFmtId="0" fontId="9" fillId="3" borderId="46" xfId="0" applyFont="1" applyFill="1" applyBorder="1"/>
    <xf numFmtId="0" fontId="9" fillId="3" borderId="20" xfId="0" applyFont="1" applyFill="1" applyBorder="1"/>
    <xf numFmtId="0" fontId="9" fillId="3" borderId="20" xfId="0" applyFont="1" applyFill="1" applyBorder="1" applyAlignment="1">
      <alignment horizontal="right"/>
    </xf>
    <xf numFmtId="0" fontId="11" fillId="0" borderId="0" xfId="0" quotePrefix="1" applyFont="1" applyAlignment="1">
      <alignment vertical="top"/>
    </xf>
    <xf numFmtId="0" fontId="9" fillId="0" borderId="7" xfId="0" applyFont="1" applyBorder="1" applyAlignment="1">
      <alignment horizontal="left" wrapText="1"/>
    </xf>
    <xf numFmtId="0" fontId="9" fillId="3" borderId="7" xfId="0" applyFont="1" applyFill="1" applyBorder="1" applyAlignment="1">
      <alignment horizontal="left" wrapText="1"/>
    </xf>
    <xf numFmtId="0" fontId="9" fillId="0" borderId="0" xfId="0" applyFont="1" applyAlignment="1">
      <alignment horizontal="right" vertical="top"/>
    </xf>
    <xf numFmtId="39" fontId="9" fillId="0" borderId="0" xfId="0" applyNumberFormat="1" applyFont="1" applyAlignment="1">
      <alignment vertical="top"/>
    </xf>
    <xf numFmtId="49" fontId="9" fillId="0" borderId="0" xfId="0" applyNumberFormat="1" applyFont="1" applyAlignment="1">
      <alignment horizontal="right" vertical="top"/>
    </xf>
    <xf numFmtId="0" fontId="9" fillId="3" borderId="7" xfId="0" applyFont="1" applyFill="1" applyBorder="1" applyAlignment="1">
      <alignment horizontal="left"/>
    </xf>
    <xf numFmtId="166" fontId="9" fillId="0" borderId="9" xfId="0" applyNumberFormat="1" applyFont="1" applyBorder="1"/>
    <xf numFmtId="0" fontId="9" fillId="3" borderId="0" xfId="0" applyFont="1" applyFill="1" applyAlignment="1">
      <alignment horizontal="left" wrapText="1"/>
    </xf>
    <xf numFmtId="39" fontId="9" fillId="3" borderId="0" xfId="0" applyNumberFormat="1" applyFont="1" applyFill="1"/>
    <xf numFmtId="0" fontId="72" fillId="0" borderId="0" xfId="0" quotePrefix="1" applyFont="1"/>
    <xf numFmtId="49" fontId="11" fillId="0" borderId="0" xfId="0" applyNumberFormat="1" applyFont="1" applyBorder="1" applyAlignment="1">
      <alignment horizontal="center"/>
    </xf>
    <xf numFmtId="0" fontId="52" fillId="0" borderId="0" xfId="0" applyFont="1"/>
    <xf numFmtId="49" fontId="11" fillId="0" borderId="29" xfId="0" applyNumberFormat="1" applyFont="1" applyBorder="1" applyAlignment="1">
      <alignment wrapText="1"/>
    </xf>
    <xf numFmtId="0" fontId="9" fillId="0" borderId="52" xfId="0" applyFont="1" applyBorder="1"/>
    <xf numFmtId="49" fontId="11" fillId="0" borderId="52" xfId="0" applyNumberFormat="1" applyFont="1" applyBorder="1" applyAlignment="1">
      <alignment horizontal="center"/>
    </xf>
    <xf numFmtId="49" fontId="11" fillId="0" borderId="29" xfId="0" applyNumberFormat="1" applyFont="1" applyBorder="1"/>
    <xf numFmtId="49" fontId="9" fillId="0" borderId="46" xfId="0" applyNumberFormat="1" applyFont="1" applyBorder="1"/>
    <xf numFmtId="49" fontId="9" fillId="0" borderId="35" xfId="0" applyNumberFormat="1" applyFont="1" applyBorder="1"/>
    <xf numFmtId="0" fontId="9" fillId="0" borderId="24" xfId="0" applyFont="1" applyBorder="1"/>
    <xf numFmtId="49" fontId="9" fillId="0" borderId="65" xfId="0" applyNumberFormat="1" applyFont="1" applyBorder="1"/>
    <xf numFmtId="49" fontId="9" fillId="0" borderId="63" xfId="0" applyNumberFormat="1" applyFont="1" applyBorder="1"/>
    <xf numFmtId="49" fontId="9" fillId="0" borderId="66" xfId="0" applyNumberFormat="1" applyFont="1" applyBorder="1"/>
    <xf numFmtId="178" fontId="9" fillId="0" borderId="67" xfId="0" applyNumberFormat="1" applyFont="1" applyBorder="1"/>
    <xf numFmtId="0" fontId="9" fillId="0" borderId="56" xfId="0" applyFont="1" applyBorder="1" applyAlignment="1">
      <alignment horizontal="right"/>
    </xf>
    <xf numFmtId="0" fontId="9" fillId="0" borderId="56" xfId="0" applyFont="1" applyBorder="1"/>
    <xf numFmtId="188" fontId="9" fillId="0" borderId="17" xfId="0" applyNumberFormat="1" applyFont="1" applyBorder="1" applyAlignment="1">
      <alignment horizontal="right"/>
    </xf>
    <xf numFmtId="188" fontId="9" fillId="0" borderId="17" xfId="0" applyNumberFormat="1" applyFont="1" applyBorder="1"/>
    <xf numFmtId="169" fontId="9" fillId="0" borderId="0" xfId="0" applyNumberFormat="1" applyFont="1"/>
    <xf numFmtId="188" fontId="9" fillId="0" borderId="9" xfId="0" applyNumberFormat="1" applyFont="1" applyBorder="1" applyAlignment="1">
      <alignment horizontal="right"/>
    </xf>
    <xf numFmtId="188" fontId="9" fillId="0" borderId="9" xfId="0" applyNumberFormat="1" applyFont="1" applyBorder="1"/>
    <xf numFmtId="166" fontId="9" fillId="0" borderId="9" xfId="0" applyNumberFormat="1" applyFont="1" applyBorder="1" applyAlignment="1">
      <alignment horizontal="right"/>
    </xf>
    <xf numFmtId="166" fontId="9" fillId="0" borderId="17" xfId="0" applyNumberFormat="1" applyFont="1" applyBorder="1"/>
    <xf numFmtId="174" fontId="9" fillId="0" borderId="68" xfId="0" applyNumberFormat="1" applyFont="1" applyBorder="1" applyAlignment="1">
      <alignment horizontal="right"/>
    </xf>
    <xf numFmtId="174" fontId="9" fillId="0" borderId="67" xfId="0" applyNumberFormat="1" applyFont="1" applyBorder="1"/>
    <xf numFmtId="174" fontId="9" fillId="0" borderId="17" xfId="0" applyNumberFormat="1" applyFont="1" applyBorder="1" applyAlignment="1">
      <alignment horizontal="right"/>
    </xf>
    <xf numFmtId="174" fontId="9" fillId="0" borderId="17" xfId="0" applyNumberFormat="1" applyFont="1" applyBorder="1"/>
    <xf numFmtId="0" fontId="9" fillId="10" borderId="69" xfId="0" applyFont="1" applyFill="1" applyBorder="1"/>
    <xf numFmtId="0" fontId="9" fillId="10" borderId="0" xfId="0" applyFont="1" applyFill="1"/>
    <xf numFmtId="0" fontId="9" fillId="0" borderId="65" xfId="0" applyFont="1" applyBorder="1"/>
    <xf numFmtId="0" fontId="9" fillId="0" borderId="63" xfId="0" applyFont="1" applyBorder="1"/>
    <xf numFmtId="0" fontId="9" fillId="10" borderId="65" xfId="0" applyFont="1" applyFill="1" applyBorder="1"/>
    <xf numFmtId="0" fontId="9" fillId="10" borderId="63" xfId="0" applyFont="1" applyFill="1" applyBorder="1"/>
    <xf numFmtId="169" fontId="9" fillId="0" borderId="67" xfId="0" applyNumberFormat="1" applyFont="1" applyBorder="1"/>
    <xf numFmtId="0" fontId="9" fillId="10" borderId="29" xfId="0" applyFont="1" applyFill="1" applyBorder="1"/>
    <xf numFmtId="178" fontId="9" fillId="0" borderId="0" xfId="0" applyNumberFormat="1" applyFont="1"/>
    <xf numFmtId="169" fontId="9" fillId="0" borderId="0" xfId="0" applyNumberFormat="1" applyFont="1" applyAlignment="1">
      <alignment horizontal="right"/>
    </xf>
    <xf numFmtId="0" fontId="9" fillId="0" borderId="22" xfId="0" applyFont="1" applyBorder="1" applyAlignment="1">
      <alignment horizontal="right"/>
    </xf>
    <xf numFmtId="39" fontId="9" fillId="0" borderId="19" xfId="0" applyNumberFormat="1" applyFont="1" applyBorder="1"/>
    <xf numFmtId="0" fontId="8" fillId="0" borderId="0" xfId="0" applyFont="1" applyAlignment="1">
      <alignment wrapText="1"/>
    </xf>
    <xf numFmtId="0" fontId="8" fillId="0" borderId="0" xfId="0" applyFont="1" applyAlignment="1">
      <alignment horizontal="left" wrapText="1"/>
    </xf>
    <xf numFmtId="0" fontId="9" fillId="0" borderId="70" xfId="0" applyFont="1" applyBorder="1" applyAlignment="1">
      <alignment horizontal="right"/>
    </xf>
    <xf numFmtId="39" fontId="9" fillId="0" borderId="71" xfId="0" applyNumberFormat="1" applyFont="1" applyBorder="1"/>
    <xf numFmtId="174" fontId="9" fillId="0" borderId="19" xfId="0" applyNumberFormat="1" applyFont="1" applyBorder="1"/>
    <xf numFmtId="0" fontId="9" fillId="0" borderId="51" xfId="0" applyFont="1" applyBorder="1"/>
    <xf numFmtId="174" fontId="9" fillId="0" borderId="52" xfId="0" applyNumberFormat="1" applyFont="1" applyBorder="1"/>
    <xf numFmtId="39" fontId="9" fillId="0" borderId="52" xfId="0" applyNumberFormat="1" applyFont="1" applyBorder="1"/>
    <xf numFmtId="0" fontId="9" fillId="2" borderId="0" xfId="20" applyFont="1" applyAlignment="1">
      <alignment horizontal="left"/>
    </xf>
    <xf numFmtId="0" fontId="63" fillId="0" borderId="0" xfId="8" applyFont="1" applyProtection="1"/>
    <xf numFmtId="187" fontId="9" fillId="0" borderId="9" xfId="0" applyNumberFormat="1" applyFont="1" applyBorder="1"/>
    <xf numFmtId="44" fontId="9" fillId="0" borderId="9" xfId="0" applyNumberFormat="1" applyFont="1" applyBorder="1"/>
    <xf numFmtId="0" fontId="13" fillId="0" borderId="0" xfId="16" applyFont="1" applyFill="1" applyAlignment="1">
      <alignment horizontal="left" vertical="top"/>
    </xf>
    <xf numFmtId="0" fontId="13" fillId="0" borderId="0" xfId="19" applyFont="1" applyFill="1" applyAlignment="1">
      <alignment horizontal="left" vertical="center"/>
    </xf>
    <xf numFmtId="0" fontId="9" fillId="0" borderId="0" xfId="19" applyFont="1" applyFill="1" applyAlignment="1">
      <alignment horizontal="left" vertical="center"/>
    </xf>
    <xf numFmtId="0" fontId="16" fillId="0" borderId="0" xfId="0" applyFont="1" applyAlignment="1">
      <alignment horizontal="right"/>
    </xf>
    <xf numFmtId="49" fontId="8" fillId="0" borderId="0" xfId="0" applyNumberFormat="1" applyFont="1"/>
    <xf numFmtId="0" fontId="4" fillId="0" borderId="63" xfId="0" applyFont="1" applyBorder="1"/>
    <xf numFmtId="0" fontId="7" fillId="0" borderId="63" xfId="0" applyFont="1" applyBorder="1" applyAlignment="1">
      <alignment horizontal="right"/>
    </xf>
    <xf numFmtId="0" fontId="7" fillId="0" borderId="63" xfId="0" applyFont="1" applyBorder="1"/>
    <xf numFmtId="0" fontId="16" fillId="0" borderId="63" xfId="0" applyFont="1" applyBorder="1" applyAlignment="1">
      <alignment horizontal="right"/>
    </xf>
    <xf numFmtId="0" fontId="16" fillId="0" borderId="0" xfId="0" applyFont="1" applyAlignment="1">
      <alignment horizontal="center" vertical="center" wrapText="1"/>
    </xf>
    <xf numFmtId="0" fontId="16" fillId="0" borderId="0" xfId="0" applyFont="1" applyAlignment="1">
      <alignment horizontal="center" wrapText="1"/>
    </xf>
    <xf numFmtId="0" fontId="7" fillId="0" borderId="0" xfId="0" applyFont="1" applyBorder="1" applyAlignment="1">
      <alignment horizontal="center" vertical="center" wrapText="1"/>
    </xf>
    <xf numFmtId="174" fontId="7" fillId="0" borderId="0" xfId="0" applyNumberFormat="1" applyFont="1" applyAlignment="1">
      <alignment horizontal="right" vertical="center"/>
    </xf>
    <xf numFmtId="174" fontId="7" fillId="0" borderId="0" xfId="0" applyNumberFormat="1" applyFont="1" applyAlignment="1">
      <alignment horizontal="right"/>
    </xf>
    <xf numFmtId="174" fontId="7" fillId="0" borderId="0" xfId="0" applyNumberFormat="1" applyFont="1" applyAlignment="1">
      <alignment horizontal="center"/>
    </xf>
    <xf numFmtId="174" fontId="7" fillId="0" borderId="0" xfId="0" applyNumberFormat="1" applyFont="1" applyBorder="1" applyAlignment="1">
      <alignment horizontal="right" vertical="center"/>
    </xf>
    <xf numFmtId="174" fontId="7" fillId="0" borderId="0" xfId="0" applyNumberFormat="1" applyFont="1" applyBorder="1" applyAlignment="1">
      <alignment horizontal="right"/>
    </xf>
    <xf numFmtId="174" fontId="16" fillId="0" borderId="0" xfId="0" applyNumberFormat="1" applyFont="1" applyBorder="1" applyAlignment="1">
      <alignment horizontal="right" vertical="center"/>
    </xf>
    <xf numFmtId="174" fontId="16" fillId="0" borderId="0" xfId="0" applyNumberFormat="1" applyFont="1" applyAlignment="1">
      <alignment horizontal="right"/>
    </xf>
    <xf numFmtId="0" fontId="16" fillId="0" borderId="0" xfId="0" applyFont="1" applyBorder="1"/>
    <xf numFmtId="174" fontId="16" fillId="0" borderId="0" xfId="0" applyNumberFormat="1" applyFont="1" applyBorder="1" applyAlignment="1">
      <alignment horizontal="right"/>
    </xf>
    <xf numFmtId="0" fontId="70" fillId="0" borderId="0" xfId="0" applyFont="1" applyBorder="1"/>
    <xf numFmtId="173" fontId="70" fillId="0" borderId="0" xfId="0" applyNumberFormat="1" applyFont="1"/>
    <xf numFmtId="0" fontId="11" fillId="0" borderId="63" xfId="0" applyFont="1" applyBorder="1"/>
    <xf numFmtId="175" fontId="9" fillId="0" borderId="63" xfId="0" applyNumberFormat="1" applyFont="1" applyBorder="1" applyAlignment="1">
      <alignment horizontal="right"/>
    </xf>
    <xf numFmtId="175" fontId="11" fillId="0" borderId="63" xfId="0" applyNumberFormat="1" applyFont="1" applyBorder="1" applyAlignment="1">
      <alignment horizontal="right"/>
    </xf>
    <xf numFmtId="0" fontId="70" fillId="0" borderId="63" xfId="0" applyFont="1" applyBorder="1"/>
    <xf numFmtId="0" fontId="70" fillId="0" borderId="0" xfId="0" applyFont="1"/>
    <xf numFmtId="173" fontId="70" fillId="0" borderId="0" xfId="0" applyNumberFormat="1" applyFont="1" applyBorder="1"/>
    <xf numFmtId="0" fontId="16" fillId="0" borderId="0" xfId="0" applyFont="1" applyBorder="1" applyAlignment="1">
      <alignment horizontal="center" vertical="center"/>
    </xf>
    <xf numFmtId="0" fontId="61" fillId="0" borderId="0" xfId="0" applyFont="1" applyAlignment="1">
      <alignment horizontal="center"/>
    </xf>
    <xf numFmtId="174" fontId="61" fillId="0" borderId="0" xfId="0" applyNumberFormat="1" applyFont="1" applyAlignment="1">
      <alignment horizontal="center"/>
    </xf>
    <xf numFmtId="0" fontId="16" fillId="0" borderId="0" xfId="0" applyFont="1" applyBorder="1" applyAlignment="1">
      <alignment vertical="top" wrapText="1"/>
    </xf>
    <xf numFmtId="175" fontId="76" fillId="0" borderId="0" xfId="0" applyNumberFormat="1" applyFont="1" applyAlignment="1">
      <alignment horizontal="right"/>
    </xf>
    <xf numFmtId="174" fontId="16" fillId="0" borderId="0" xfId="0" applyNumberFormat="1" applyFont="1" applyBorder="1" applyAlignment="1">
      <alignment horizontal="right" vertical="top" wrapText="1"/>
    </xf>
    <xf numFmtId="175" fontId="16" fillId="0" borderId="0" xfId="0" applyNumberFormat="1" applyFont="1" applyAlignment="1">
      <alignment horizontal="right"/>
    </xf>
    <xf numFmtId="175" fontId="16" fillId="0" borderId="0" xfId="0" applyNumberFormat="1" applyFont="1" applyBorder="1" applyAlignment="1">
      <alignment horizontal="right" vertical="top" wrapText="1"/>
    </xf>
    <xf numFmtId="174" fontId="76" fillId="0" borderId="0" xfId="0" applyNumberFormat="1" applyFont="1" applyAlignment="1">
      <alignment horizontal="right"/>
    </xf>
    <xf numFmtId="0" fontId="11" fillId="0" borderId="0" xfId="0" applyFont="1" applyBorder="1" applyAlignment="1">
      <alignment horizontal="right"/>
    </xf>
    <xf numFmtId="0" fontId="58" fillId="0" borderId="0" xfId="0" applyFont="1" applyBorder="1" applyAlignment="1">
      <alignment vertical="top"/>
    </xf>
    <xf numFmtId="0" fontId="11" fillId="0" borderId="0" xfId="0" applyFont="1" applyBorder="1"/>
    <xf numFmtId="0" fontId="7" fillId="0" borderId="0" xfId="0" applyFont="1" applyBorder="1" applyAlignment="1">
      <alignment horizontal="center" vertical="top" wrapText="1"/>
    </xf>
    <xf numFmtId="174" fontId="7" fillId="0" borderId="0" xfId="0" applyNumberFormat="1" applyFont="1" applyBorder="1" applyAlignment="1">
      <alignment horizontal="right" wrapText="1"/>
    </xf>
    <xf numFmtId="175" fontId="7" fillId="0" borderId="0" xfId="0" applyNumberFormat="1" applyFont="1" applyBorder="1" applyAlignment="1">
      <alignment horizontal="right" vertical="top" wrapText="1"/>
    </xf>
    <xf numFmtId="0" fontId="9" fillId="0" borderId="0" xfId="0" applyFont="1" applyBorder="1" applyAlignment="1">
      <alignment vertical="top" wrapText="1"/>
    </xf>
    <xf numFmtId="174" fontId="7" fillId="0" borderId="0" xfId="0" applyNumberFormat="1" applyFont="1" applyAlignment="1">
      <alignment horizontal="right" wrapText="1"/>
    </xf>
    <xf numFmtId="0" fontId="7" fillId="0" borderId="0" xfId="0" applyFont="1" applyBorder="1" applyAlignment="1">
      <alignment vertical="top" wrapText="1"/>
    </xf>
    <xf numFmtId="174" fontId="7" fillId="0" borderId="0" xfId="0" applyNumberFormat="1" applyFont="1" applyBorder="1" applyAlignment="1">
      <alignment horizontal="right" vertical="top" wrapText="1"/>
    </xf>
    <xf numFmtId="0" fontId="7" fillId="0" borderId="63" xfId="0" applyFont="1" applyBorder="1" applyAlignment="1">
      <alignment vertical="top" wrapText="1"/>
    </xf>
    <xf numFmtId="0" fontId="7" fillId="0" borderId="63" xfId="0" applyFont="1" applyBorder="1" applyAlignment="1">
      <alignment horizontal="center" vertical="top" wrapText="1"/>
    </xf>
    <xf numFmtId="174" fontId="7" fillId="0" borderId="63" xfId="0" applyNumberFormat="1" applyFont="1" applyBorder="1" applyAlignment="1">
      <alignment horizontal="right" wrapText="1"/>
    </xf>
    <xf numFmtId="174" fontId="7" fillId="0" borderId="63" xfId="0" applyNumberFormat="1" applyFont="1" applyBorder="1" applyAlignment="1">
      <alignment horizontal="right" vertical="top" wrapText="1"/>
    </xf>
    <xf numFmtId="0" fontId="9" fillId="0" borderId="63" xfId="0" applyFont="1" applyBorder="1" applyAlignment="1">
      <alignment vertical="top" wrapText="1"/>
    </xf>
    <xf numFmtId="0" fontId="60" fillId="0" borderId="63" xfId="0" applyFont="1" applyBorder="1"/>
    <xf numFmtId="0" fontId="60" fillId="0" borderId="0" xfId="0" applyFont="1" applyBorder="1"/>
    <xf numFmtId="0" fontId="76" fillId="0" borderId="0" xfId="0" applyFont="1" applyBorder="1"/>
    <xf numFmtId="0" fontId="61" fillId="0" borderId="0" xfId="0" applyFont="1"/>
    <xf numFmtId="185" fontId="16" fillId="0" borderId="0" xfId="4" applyNumberFormat="1" applyFont="1" applyFill="1" applyBorder="1" applyAlignment="1" applyProtection="1">
      <alignment horizontal="right"/>
    </xf>
    <xf numFmtId="44" fontId="7" fillId="0" borderId="0" xfId="2" applyFont="1" applyFill="1" applyAlignment="1" applyProtection="1">
      <alignment horizontal="right"/>
    </xf>
    <xf numFmtId="181" fontId="16" fillId="0" borderId="63" xfId="2" applyNumberFormat="1" applyFont="1" applyFill="1" applyBorder="1" applyAlignment="1" applyProtection="1">
      <alignment horizontal="right"/>
    </xf>
    <xf numFmtId="43" fontId="9" fillId="0" borderId="0" xfId="0" applyNumberFormat="1" applyFont="1"/>
    <xf numFmtId="181" fontId="16" fillId="0" borderId="0" xfId="0" applyNumberFormat="1" applyFont="1" applyAlignment="1">
      <alignment horizontal="right"/>
    </xf>
    <xf numFmtId="174" fontId="16" fillId="0" borderId="63" xfId="0" applyNumberFormat="1" applyFont="1" applyBorder="1" applyAlignment="1">
      <alignment horizontal="right"/>
    </xf>
    <xf numFmtId="0" fontId="51" fillId="0" borderId="0" xfId="0" applyFont="1" applyAlignment="1">
      <alignment vertical="center"/>
    </xf>
    <xf numFmtId="0" fontId="16" fillId="0" borderId="0" xfId="0" applyFont="1" applyAlignment="1">
      <alignment wrapText="1"/>
    </xf>
    <xf numFmtId="173" fontId="16" fillId="0" borderId="0" xfId="0" applyNumberFormat="1" applyFont="1" applyAlignment="1">
      <alignment horizontal="right"/>
    </xf>
    <xf numFmtId="184" fontId="7" fillId="0" borderId="0" xfId="0" applyNumberFormat="1" applyFont="1" applyAlignment="1">
      <alignment horizontal="right"/>
    </xf>
    <xf numFmtId="0" fontId="16" fillId="0" borderId="0" xfId="0" applyFont="1" applyBorder="1" applyAlignment="1">
      <alignment horizontal="left" vertical="top" wrapText="1"/>
    </xf>
    <xf numFmtId="0" fontId="16" fillId="0" borderId="0" xfId="0" applyFont="1" applyBorder="1" applyAlignment="1">
      <alignment horizontal="left" wrapText="1"/>
    </xf>
    <xf numFmtId="0" fontId="16" fillId="0" borderId="0" xfId="0" applyFont="1" applyBorder="1" applyAlignment="1">
      <alignment horizontal="right" wrapText="1"/>
    </xf>
    <xf numFmtId="7" fontId="16" fillId="0" borderId="0" xfId="0" applyNumberFormat="1" applyFont="1" applyBorder="1" applyAlignment="1">
      <alignment horizontal="center" wrapText="1"/>
    </xf>
    <xf numFmtId="0" fontId="7" fillId="0" borderId="0" xfId="0" applyFont="1" applyBorder="1" applyAlignment="1">
      <alignment horizontal="right" wrapText="1"/>
    </xf>
    <xf numFmtId="0" fontId="11" fillId="0" borderId="0" xfId="0" applyFont="1" applyBorder="1" applyAlignment="1">
      <alignment horizontal="left" wrapText="1"/>
    </xf>
    <xf numFmtId="181" fontId="16" fillId="0" borderId="0" xfId="0" applyNumberFormat="1" applyFont="1" applyAlignment="1">
      <alignment horizontal="center"/>
    </xf>
    <xf numFmtId="7" fontId="16" fillId="0" borderId="0" xfId="0" applyNumberFormat="1" applyFont="1" applyAlignment="1">
      <alignment horizontal="right" wrapText="1"/>
    </xf>
    <xf numFmtId="0" fontId="9" fillId="0" borderId="0" xfId="0" applyFont="1" applyBorder="1" applyAlignment="1">
      <alignment wrapText="1"/>
    </xf>
    <xf numFmtId="0" fontId="16" fillId="0" borderId="0" xfId="0" applyFont="1" applyBorder="1" applyAlignment="1">
      <alignment wrapText="1"/>
    </xf>
    <xf numFmtId="181" fontId="16" fillId="0" borderId="0" xfId="0" applyNumberFormat="1" applyFont="1" applyBorder="1" applyAlignment="1">
      <alignment horizontal="right" wrapText="1"/>
    </xf>
    <xf numFmtId="0" fontId="11" fillId="0" borderId="0" xfId="0" applyFont="1" applyBorder="1" applyAlignment="1">
      <alignment wrapText="1"/>
    </xf>
    <xf numFmtId="0" fontId="7" fillId="0" borderId="72" xfId="0" applyFont="1" applyBorder="1"/>
    <xf numFmtId="0" fontId="7" fillId="0" borderId="73" xfId="0" applyFont="1" applyBorder="1"/>
    <xf numFmtId="0" fontId="86" fillId="0" borderId="0" xfId="0" applyFont="1"/>
    <xf numFmtId="0" fontId="58" fillId="0" borderId="0" xfId="0" applyFont="1" applyBorder="1"/>
    <xf numFmtId="0" fontId="58" fillId="0" borderId="0" xfId="0" applyFont="1" applyBorder="1" applyAlignment="1">
      <alignment vertical="center" wrapText="1"/>
    </xf>
    <xf numFmtId="0" fontId="58" fillId="0" borderId="0" xfId="0" applyFont="1" applyBorder="1" applyAlignment="1">
      <alignment vertical="top" wrapText="1"/>
    </xf>
    <xf numFmtId="0" fontId="7" fillId="0" borderId="74" xfId="0" applyFont="1" applyBorder="1"/>
    <xf numFmtId="0" fontId="58" fillId="0" borderId="61" xfId="0" applyFont="1" applyBorder="1" applyAlignment="1">
      <alignment horizontal="left"/>
    </xf>
    <xf numFmtId="7" fontId="7" fillId="0" borderId="0" xfId="0" applyNumberFormat="1" applyFont="1" applyAlignment="1">
      <alignment horizontal="right" wrapText="1"/>
    </xf>
    <xf numFmtId="0" fontId="7" fillId="0" borderId="0" xfId="0" applyFont="1" applyAlignment="1">
      <alignment vertical="center"/>
    </xf>
    <xf numFmtId="0" fontId="7" fillId="0" borderId="74" xfId="0" applyFont="1" applyBorder="1" applyAlignment="1">
      <alignment horizontal="right"/>
    </xf>
    <xf numFmtId="181" fontId="7" fillId="0" borderId="0" xfId="2" applyNumberFormat="1" applyFont="1" applyAlignment="1" applyProtection="1">
      <alignment horizontal="right" wrapText="1"/>
    </xf>
    <xf numFmtId="39" fontId="7" fillId="0" borderId="74" xfId="0" applyNumberFormat="1" applyFont="1" applyBorder="1" applyAlignment="1">
      <alignment horizontal="right" wrapText="1"/>
    </xf>
    <xf numFmtId="181" fontId="7" fillId="0" borderId="63" xfId="2" applyNumberFormat="1" applyFont="1" applyBorder="1" applyAlignment="1" applyProtection="1">
      <alignment horizontal="right" wrapText="1"/>
    </xf>
    <xf numFmtId="174" fontId="7" fillId="0" borderId="74" xfId="0" applyNumberFormat="1" applyFont="1" applyBorder="1" applyAlignment="1">
      <alignment horizontal="right" wrapText="1"/>
    </xf>
    <xf numFmtId="7" fontId="16" fillId="0" borderId="0" xfId="0" applyNumberFormat="1" applyFont="1" applyBorder="1" applyAlignment="1">
      <alignment horizontal="right" wrapText="1"/>
    </xf>
    <xf numFmtId="0" fontId="86" fillId="0" borderId="0" xfId="0" applyFont="1" applyBorder="1"/>
    <xf numFmtId="2" fontId="7" fillId="0" borderId="0" xfId="0" applyNumberFormat="1" applyFont="1"/>
    <xf numFmtId="39" fontId="61" fillId="0" borderId="74" xfId="0" applyNumberFormat="1" applyFont="1" applyBorder="1" applyAlignment="1">
      <alignment horizontal="right" wrapText="1"/>
    </xf>
    <xf numFmtId="0" fontId="86" fillId="0" borderId="63" xfId="0" applyFont="1" applyBorder="1"/>
    <xf numFmtId="181" fontId="7" fillId="0" borderId="74" xfId="2" applyNumberFormat="1" applyFont="1" applyBorder="1" applyAlignment="1" applyProtection="1">
      <alignment horizontal="right" wrapText="1"/>
    </xf>
    <xf numFmtId="0" fontId="7" fillId="0" borderId="64" xfId="0" applyFont="1" applyBorder="1" applyAlignment="1">
      <alignment horizontal="right" wrapText="1"/>
    </xf>
    <xf numFmtId="39" fontId="7" fillId="0" borderId="64" xfId="0" applyNumberFormat="1" applyFont="1" applyBorder="1" applyAlignment="1">
      <alignment horizontal="right" wrapText="1"/>
    </xf>
    <xf numFmtId="0" fontId="7" fillId="0" borderId="0" xfId="0" applyFont="1" applyAlignment="1">
      <alignment horizontal="left" vertical="center"/>
    </xf>
    <xf numFmtId="0" fontId="16" fillId="11" borderId="75" xfId="0" applyFont="1" applyFill="1" applyBorder="1" applyAlignment="1">
      <alignment horizontal="left"/>
    </xf>
    <xf numFmtId="0" fontId="16" fillId="11" borderId="76" xfId="0" applyFont="1" applyFill="1" applyBorder="1" applyAlignment="1">
      <alignment horizontal="left"/>
    </xf>
    <xf numFmtId="181" fontId="16" fillId="11" borderId="76" xfId="2" applyNumberFormat="1" applyFont="1" applyFill="1" applyBorder="1" applyAlignment="1" applyProtection="1">
      <alignment horizontal="right"/>
    </xf>
    <xf numFmtId="0" fontId="7" fillId="0" borderId="74" xfId="0" applyFont="1" applyBorder="1" applyAlignment="1">
      <alignment horizontal="right" wrapText="1"/>
    </xf>
    <xf numFmtId="7" fontId="7" fillId="0" borderId="0" xfId="0" applyNumberFormat="1" applyFont="1" applyAlignment="1">
      <alignment horizontal="right"/>
    </xf>
    <xf numFmtId="7" fontId="7" fillId="0" borderId="74" xfId="0" applyNumberFormat="1" applyFont="1" applyBorder="1" applyAlignment="1">
      <alignment horizontal="right" wrapText="1"/>
    </xf>
    <xf numFmtId="0" fontId="7" fillId="0" borderId="61" xfId="0" applyFont="1" applyBorder="1"/>
    <xf numFmtId="0" fontId="76" fillId="0" borderId="63" xfId="0" applyFont="1" applyBorder="1"/>
    <xf numFmtId="37" fontId="7" fillId="0" borderId="64" xfId="0" applyNumberFormat="1" applyFont="1" applyBorder="1" applyAlignment="1">
      <alignment horizontal="right"/>
    </xf>
    <xf numFmtId="0" fontId="7" fillId="0" borderId="72" xfId="0" applyFont="1" applyBorder="1" applyAlignment="1">
      <alignment horizontal="right"/>
    </xf>
    <xf numFmtId="181" fontId="7" fillId="0" borderId="74" xfId="0" applyNumberFormat="1" applyFont="1" applyBorder="1" applyAlignment="1">
      <alignment horizontal="right"/>
    </xf>
    <xf numFmtId="0" fontId="30" fillId="0" borderId="0" xfId="0" applyFont="1"/>
    <xf numFmtId="181" fontId="7" fillId="0" borderId="0" xfId="0" applyNumberFormat="1" applyFont="1" applyAlignment="1">
      <alignment horizontal="right"/>
    </xf>
    <xf numFmtId="181" fontId="7" fillId="0" borderId="63" xfId="0" applyNumberFormat="1" applyFont="1" applyBorder="1" applyAlignment="1">
      <alignment horizontal="right"/>
    </xf>
    <xf numFmtId="181" fontId="7" fillId="0" borderId="75" xfId="0" applyNumberFormat="1" applyFont="1" applyBorder="1" applyAlignment="1">
      <alignment horizontal="right"/>
    </xf>
    <xf numFmtId="181" fontId="16" fillId="0" borderId="0" xfId="0" applyNumberFormat="1" applyFont="1" applyBorder="1" applyAlignment="1">
      <alignment horizontal="right"/>
    </xf>
    <xf numFmtId="0" fontId="58" fillId="0" borderId="0" xfId="0" applyFont="1" applyAlignment="1">
      <alignment vertical="top"/>
    </xf>
    <xf numFmtId="0" fontId="7" fillId="0" borderId="0" xfId="0" applyFont="1" applyAlignment="1">
      <alignment vertical="top"/>
    </xf>
    <xf numFmtId="0" fontId="58" fillId="0" borderId="0" xfId="0" applyFont="1" applyBorder="1" applyAlignment="1">
      <alignment horizontal="center" vertical="center"/>
    </xf>
    <xf numFmtId="0" fontId="7" fillId="0" borderId="0" xfId="0" applyFont="1" applyBorder="1" applyAlignment="1">
      <alignment vertical="center"/>
    </xf>
    <xf numFmtId="49" fontId="58" fillId="0" borderId="0" xfId="0" applyNumberFormat="1" applyFont="1" applyBorder="1" applyAlignment="1">
      <alignment horizontal="center" vertical="center"/>
    </xf>
    <xf numFmtId="49" fontId="58" fillId="0" borderId="0" xfId="0" applyNumberFormat="1" applyFont="1" applyBorder="1" applyAlignment="1">
      <alignment horizontal="center" vertical="center" wrapText="1"/>
    </xf>
    <xf numFmtId="49" fontId="58" fillId="0" borderId="0" xfId="0" applyNumberFormat="1" applyFont="1" applyBorder="1" applyAlignment="1">
      <alignment vertical="center"/>
    </xf>
    <xf numFmtId="173" fontId="7" fillId="0" borderId="0" xfId="0" applyNumberFormat="1" applyFont="1" applyBorder="1"/>
    <xf numFmtId="173" fontId="7" fillId="0" borderId="0" xfId="0" applyNumberFormat="1" applyFont="1"/>
    <xf numFmtId="173" fontId="7" fillId="0" borderId="0" xfId="0" applyNumberFormat="1" applyFont="1" applyBorder="1" applyAlignment="1">
      <alignment wrapText="1"/>
    </xf>
    <xf numFmtId="0" fontId="86" fillId="0" borderId="0" xfId="0" applyFont="1" applyAlignment="1">
      <alignment horizontal="right"/>
    </xf>
    <xf numFmtId="181" fontId="7" fillId="0" borderId="63" xfId="2" applyNumberFormat="1" applyFont="1" applyFill="1" applyBorder="1" applyAlignment="1" applyProtection="1">
      <alignment horizontal="right"/>
    </xf>
    <xf numFmtId="181" fontId="7" fillId="0" borderId="63" xfId="2" applyNumberFormat="1" applyFont="1" applyFill="1" applyBorder="1" applyAlignment="1" applyProtection="1">
      <alignment horizontal="right" wrapText="1"/>
    </xf>
    <xf numFmtId="2" fontId="7" fillId="0" borderId="0" xfId="0" applyNumberFormat="1" applyFont="1" applyBorder="1" applyAlignment="1">
      <alignment wrapText="1"/>
    </xf>
    <xf numFmtId="0" fontId="86" fillId="0" borderId="63" xfId="0" applyFont="1" applyBorder="1" applyAlignment="1">
      <alignment horizontal="right"/>
    </xf>
    <xf numFmtId="181" fontId="7" fillId="0" borderId="0" xfId="2" applyNumberFormat="1" applyFont="1" applyBorder="1" applyAlignment="1" applyProtection="1">
      <alignment horizontal="right"/>
    </xf>
    <xf numFmtId="2" fontId="7" fillId="0" borderId="0" xfId="0" applyNumberFormat="1" applyFont="1" applyBorder="1"/>
    <xf numFmtId="181" fontId="16" fillId="0" borderId="0" xfId="2" applyNumberFormat="1" applyFont="1" applyAlignment="1" applyProtection="1">
      <alignment horizontal="right"/>
    </xf>
    <xf numFmtId="0" fontId="51" fillId="0" borderId="0" xfId="0" applyFont="1" applyAlignment="1">
      <alignment vertical="top"/>
    </xf>
    <xf numFmtId="174" fontId="7" fillId="0" borderId="63" xfId="0" applyNumberFormat="1" applyFont="1" applyBorder="1" applyAlignment="1">
      <alignment horizontal="right"/>
    </xf>
    <xf numFmtId="187" fontId="7" fillId="0" borderId="63" xfId="0" applyNumberFormat="1" applyFont="1" applyBorder="1" applyAlignment="1">
      <alignment horizontal="right"/>
    </xf>
    <xf numFmtId="0" fontId="7" fillId="0" borderId="0" xfId="0" applyFont="1" applyAlignment="1">
      <alignment vertical="center" wrapText="1"/>
    </xf>
    <xf numFmtId="0" fontId="16" fillId="0" borderId="63" xfId="0" applyFont="1" applyBorder="1" applyAlignment="1">
      <alignment vertical="center"/>
    </xf>
    <xf numFmtId="181" fontId="7" fillId="0" borderId="0" xfId="2" applyNumberFormat="1" applyFont="1" applyFill="1" applyBorder="1" applyAlignment="1" applyProtection="1">
      <alignment horizontal="right"/>
    </xf>
    <xf numFmtId="181" fontId="86" fillId="0" borderId="0" xfId="0" applyNumberFormat="1" applyFont="1" applyAlignment="1">
      <alignment horizontal="right"/>
    </xf>
    <xf numFmtId="0" fontId="16" fillId="0" borderId="63" xfId="0" applyFont="1" applyBorder="1" applyAlignment="1">
      <alignment horizontal="center"/>
    </xf>
    <xf numFmtId="181" fontId="7" fillId="0" borderId="0" xfId="0" applyNumberFormat="1" applyFont="1"/>
    <xf numFmtId="181" fontId="73" fillId="0" borderId="0" xfId="0" applyNumberFormat="1" applyFont="1" applyAlignment="1">
      <alignment horizontal="right"/>
    </xf>
    <xf numFmtId="181" fontId="16" fillId="0" borderId="63" xfId="2" applyNumberFormat="1" applyFont="1" applyBorder="1" applyAlignment="1" applyProtection="1">
      <alignment horizontal="right"/>
    </xf>
    <xf numFmtId="0" fontId="60" fillId="6" borderId="0" xfId="0" applyFont="1" applyFill="1"/>
    <xf numFmtId="0" fontId="58" fillId="0" borderId="0" xfId="0" applyFont="1"/>
    <xf numFmtId="0" fontId="16" fillId="0" borderId="63" xfId="0" applyFont="1" applyBorder="1"/>
    <xf numFmtId="186" fontId="7" fillId="0" borderId="0" xfId="1" applyNumberFormat="1" applyFont="1" applyAlignment="1" applyProtection="1">
      <alignment horizontal="right"/>
    </xf>
    <xf numFmtId="7" fontId="7" fillId="0" borderId="0" xfId="0" applyNumberFormat="1" applyFont="1" applyBorder="1" applyAlignment="1">
      <alignment horizontal="right"/>
    </xf>
    <xf numFmtId="0" fontId="7" fillId="0" borderId="0" xfId="0" applyFont="1" applyBorder="1" applyAlignment="1">
      <alignment horizontal="center"/>
    </xf>
    <xf numFmtId="181" fontId="7" fillId="0" borderId="0" xfId="2" applyNumberFormat="1" applyFont="1" applyFill="1" applyProtection="1"/>
    <xf numFmtId="175" fontId="7" fillId="0" borderId="63" xfId="0" applyNumberFormat="1" applyFont="1" applyBorder="1" applyAlignment="1">
      <alignment horizontal="right"/>
    </xf>
    <xf numFmtId="181" fontId="16" fillId="0" borderId="63" xfId="0" applyNumberFormat="1" applyFont="1" applyBorder="1"/>
    <xf numFmtId="0" fontId="41" fillId="0" borderId="9" xfId="0" applyFont="1" applyBorder="1" applyAlignment="1">
      <alignment horizontal="center" wrapText="1"/>
    </xf>
    <xf numFmtId="0" fontId="41" fillId="0" borderId="9" xfId="0" applyFont="1" applyBorder="1" applyAlignment="1">
      <alignment horizontal="left" wrapText="1"/>
    </xf>
    <xf numFmtId="0" fontId="4" fillId="0" borderId="0" xfId="0" applyFont="1" applyAlignment="1">
      <alignment vertical="top" wrapText="1"/>
    </xf>
    <xf numFmtId="0" fontId="40" fillId="0" borderId="9" xfId="0" applyFont="1" applyBorder="1" applyAlignment="1">
      <alignment horizontal="justify" vertical="top" wrapText="1"/>
    </xf>
    <xf numFmtId="0" fontId="50" fillId="0" borderId="24" xfId="0" applyFont="1" applyBorder="1" applyAlignment="1">
      <alignment vertical="top" wrapText="1"/>
    </xf>
    <xf numFmtId="0" fontId="42" fillId="0" borderId="9" xfId="8" applyFont="1" applyFill="1" applyBorder="1" applyAlignment="1" applyProtection="1">
      <alignment horizontal="justify" vertical="top" wrapText="1"/>
    </xf>
    <xf numFmtId="0" fontId="40" fillId="0" borderId="9" xfId="0" applyFont="1" applyBorder="1" applyAlignment="1">
      <alignment vertical="top" wrapText="1"/>
    </xf>
    <xf numFmtId="0" fontId="40" fillId="0" borderId="9" xfId="0" applyFont="1" applyBorder="1" applyAlignment="1">
      <alignment horizontal="center" vertical="top" wrapText="1"/>
    </xf>
    <xf numFmtId="0" fontId="40" fillId="0" borderId="9" xfId="0" applyFont="1" applyBorder="1" applyAlignment="1">
      <alignment horizontal="center" vertical="center" wrapText="1"/>
    </xf>
    <xf numFmtId="0" fontId="42" fillId="0" borderId="9" xfId="8" applyFont="1" applyBorder="1" applyAlignment="1" applyProtection="1">
      <alignment horizontal="justify" vertical="top" wrapText="1"/>
    </xf>
    <xf numFmtId="0" fontId="40" fillId="0" borderId="24" xfId="0" applyFont="1" applyBorder="1" applyAlignment="1">
      <alignment horizontal="justify" vertical="top" wrapText="1"/>
    </xf>
    <xf numFmtId="0" fontId="50" fillId="0" borderId="9" xfId="0" applyFont="1" applyBorder="1" applyAlignment="1">
      <alignment vertical="top" wrapText="1"/>
    </xf>
    <xf numFmtId="0" fontId="40" fillId="0" borderId="9" xfId="0" applyFont="1" applyBorder="1" applyAlignment="1">
      <alignment horizontal="justify" vertical="top"/>
    </xf>
    <xf numFmtId="49" fontId="40" fillId="6" borderId="9" xfId="0" applyNumberFormat="1" applyFont="1" applyFill="1" applyBorder="1" applyAlignment="1">
      <alignment horizontal="justify" vertical="top" wrapText="1"/>
    </xf>
    <xf numFmtId="0" fontId="42" fillId="0" borderId="9" xfId="8" applyFont="1" applyFill="1" applyBorder="1" applyAlignment="1" applyProtection="1">
      <alignment vertical="top" wrapText="1"/>
    </xf>
    <xf numFmtId="0" fontId="42" fillId="6" borderId="9" xfId="8" applyFont="1" applyFill="1" applyBorder="1" applyAlignment="1" applyProtection="1">
      <alignment horizontal="justify" vertical="top" wrapText="1"/>
    </xf>
    <xf numFmtId="0" fontId="40" fillId="0" borderId="0" xfId="0" applyFont="1" applyAlignment="1">
      <alignment horizontal="center" vertical="top" wrapText="1"/>
    </xf>
    <xf numFmtId="0" fontId="40" fillId="0" borderId="24" xfId="0" applyFont="1" applyBorder="1" applyAlignment="1">
      <alignment vertical="center" wrapText="1"/>
    </xf>
    <xf numFmtId="0" fontId="40" fillId="0" borderId="7" xfId="0" applyFont="1" applyBorder="1" applyAlignment="1">
      <alignment vertical="top" wrapText="1"/>
    </xf>
    <xf numFmtId="0" fontId="40" fillId="0" borderId="7" xfId="0" applyFont="1" applyBorder="1" applyAlignment="1">
      <alignment horizontal="justify" vertical="top" wrapText="1"/>
    </xf>
    <xf numFmtId="0" fontId="4" fillId="0" borderId="9" xfId="0" applyFont="1" applyBorder="1" applyAlignment="1">
      <alignment vertical="top" wrapText="1"/>
    </xf>
    <xf numFmtId="0" fontId="42" fillId="2" borderId="0" xfId="8" applyFont="1" applyFill="1" applyAlignment="1" applyProtection="1">
      <alignment vertical="center" wrapText="1"/>
    </xf>
    <xf numFmtId="0" fontId="40" fillId="2" borderId="9" xfId="8" applyFont="1" applyFill="1" applyBorder="1" applyAlignment="1" applyProtection="1">
      <alignment vertical="top" wrapText="1"/>
    </xf>
    <xf numFmtId="0" fontId="42" fillId="0" borderId="9" xfId="8" applyFont="1" applyBorder="1" applyAlignment="1" applyProtection="1">
      <alignment vertical="center" wrapText="1"/>
    </xf>
    <xf numFmtId="0" fontId="42" fillId="0" borderId="7" xfId="8" applyFont="1" applyBorder="1" applyAlignment="1" applyProtection="1">
      <alignment vertical="top" wrapText="1"/>
    </xf>
    <xf numFmtId="0" fontId="40" fillId="0" borderId="0" xfId="0" applyFont="1" applyAlignment="1">
      <alignment vertical="top" wrapText="1"/>
    </xf>
    <xf numFmtId="0" fontId="40" fillId="0" borderId="0" xfId="0" applyFont="1" applyAlignment="1">
      <alignment horizontal="center" vertical="center" wrapText="1"/>
    </xf>
    <xf numFmtId="176" fontId="11" fillId="0" borderId="10" xfId="0" applyNumberFormat="1" applyFont="1" applyBorder="1" applyAlignment="1" applyProtection="1">
      <alignment horizontal="right" wrapText="1"/>
      <protection locked="0"/>
    </xf>
    <xf numFmtId="0" fontId="63" fillId="4" borderId="22" xfId="0" applyFont="1" applyFill="1" applyBorder="1" applyAlignment="1">
      <alignment horizontal="left"/>
    </xf>
    <xf numFmtId="0" fontId="9" fillId="4" borderId="7" xfId="0" applyFont="1" applyFill="1" applyBorder="1" applyAlignment="1">
      <alignment horizontal="left"/>
    </xf>
    <xf numFmtId="0" fontId="9" fillId="4" borderId="19" xfId="0" applyFont="1" applyFill="1" applyBorder="1" applyAlignment="1">
      <alignment horizontal="right"/>
    </xf>
    <xf numFmtId="171" fontId="7" fillId="0" borderId="55" xfId="0" applyNumberFormat="1" applyFont="1" applyBorder="1" applyProtection="1">
      <protection locked="0"/>
    </xf>
    <xf numFmtId="171" fontId="7" fillId="0" borderId="77" xfId="0" applyNumberFormat="1" applyFont="1" applyBorder="1" applyProtection="1">
      <protection locked="0"/>
    </xf>
    <xf numFmtId="0" fontId="11" fillId="0" borderId="4" xfId="0" applyFont="1" applyBorder="1" applyAlignment="1">
      <alignment horizontal="center"/>
    </xf>
    <xf numFmtId="37" fontId="9" fillId="0" borderId="0" xfId="0" applyNumberFormat="1" applyFont="1" applyBorder="1"/>
    <xf numFmtId="0" fontId="0" fillId="0" borderId="0" xfId="0" applyBorder="1"/>
    <xf numFmtId="37" fontId="13" fillId="0" borderId="0" xfId="0" applyNumberFormat="1" applyFont="1" applyBorder="1"/>
    <xf numFmtId="37" fontId="9" fillId="0" borderId="78" xfId="0" applyNumberFormat="1" applyFont="1" applyBorder="1"/>
    <xf numFmtId="37" fontId="9" fillId="0" borderId="9" xfId="0" applyNumberFormat="1" applyFont="1" applyBorder="1" applyProtection="1">
      <protection locked="0"/>
    </xf>
    <xf numFmtId="37" fontId="13" fillId="0" borderId="9" xfId="0" applyNumberFormat="1" applyFont="1" applyBorder="1" applyProtection="1">
      <protection locked="0"/>
    </xf>
    <xf numFmtId="7" fontId="9" fillId="12" borderId="9" xfId="0" applyNumberFormat="1" applyFont="1" applyFill="1" applyBorder="1" applyProtection="1">
      <protection locked="0"/>
    </xf>
    <xf numFmtId="7" fontId="9" fillId="12" borderId="17" xfId="0" applyNumberFormat="1" applyFont="1" applyFill="1" applyBorder="1" applyProtection="1">
      <protection locked="0"/>
    </xf>
    <xf numFmtId="0" fontId="74" fillId="0" borderId="0" xfId="0" quotePrefix="1" applyFont="1" applyAlignment="1">
      <alignment vertical="top"/>
    </xf>
    <xf numFmtId="0" fontId="70" fillId="6" borderId="0" xfId="0" applyFont="1" applyFill="1"/>
    <xf numFmtId="0" fontId="40" fillId="6" borderId="9" xfId="0" applyFont="1" applyFill="1" applyBorder="1" applyAlignment="1">
      <alignment vertical="top" wrapText="1"/>
    </xf>
    <xf numFmtId="0" fontId="40" fillId="6" borderId="9" xfId="0" applyFont="1" applyFill="1" applyBorder="1" applyAlignment="1">
      <alignment horizontal="center" vertical="top" wrapText="1"/>
    </xf>
    <xf numFmtId="0" fontId="4" fillId="6" borderId="0" xfId="0" applyFont="1" applyFill="1" applyAlignment="1">
      <alignment vertical="top" wrapText="1"/>
    </xf>
    <xf numFmtId="49" fontId="13" fillId="0" borderId="0" xfId="0" applyNumberFormat="1" applyFont="1"/>
    <xf numFmtId="49" fontId="9" fillId="0" borderId="0" xfId="0" applyNumberFormat="1" applyFont="1" applyAlignment="1">
      <alignment vertical="center"/>
    </xf>
    <xf numFmtId="49" fontId="63" fillId="0" borderId="0" xfId="0" applyNumberFormat="1" applyFont="1"/>
    <xf numFmtId="4" fontId="9" fillId="0" borderId="33" xfId="0" applyNumberFormat="1" applyFont="1" applyBorder="1"/>
    <xf numFmtId="0" fontId="4" fillId="0" borderId="24" xfId="0" applyFont="1" applyBorder="1"/>
    <xf numFmtId="0" fontId="4" fillId="0" borderId="79" xfId="0" applyFont="1" applyBorder="1"/>
    <xf numFmtId="0" fontId="4" fillId="0" borderId="49" xfId="0" applyFont="1" applyBorder="1"/>
    <xf numFmtId="38" fontId="25" fillId="0" borderId="80" xfId="0" applyNumberFormat="1" applyFont="1" applyBorder="1" applyAlignment="1">
      <alignment vertical="top"/>
    </xf>
    <xf numFmtId="38" fontId="25" fillId="0" borderId="80" xfId="0" applyNumberFormat="1" applyFont="1" applyBorder="1" applyProtection="1">
      <protection locked="0"/>
    </xf>
    <xf numFmtId="37" fontId="9" fillId="8" borderId="81" xfId="0" applyNumberFormat="1" applyFont="1" applyFill="1" applyBorder="1"/>
    <xf numFmtId="37" fontId="9" fillId="8" borderId="15" xfId="0" applyNumberFormat="1" applyFont="1" applyFill="1" applyBorder="1"/>
    <xf numFmtId="0" fontId="0" fillId="8" borderId="82" xfId="0" applyFill="1" applyBorder="1"/>
    <xf numFmtId="0" fontId="0" fillId="8" borderId="5" xfId="0" applyFill="1" applyBorder="1"/>
    <xf numFmtId="37" fontId="9" fillId="0" borderId="31" xfId="0" applyNumberFormat="1" applyFont="1" applyBorder="1" applyAlignment="1">
      <alignment horizontal="right"/>
    </xf>
    <xf numFmtId="3" fontId="9" fillId="0" borderId="16" xfId="0" applyNumberFormat="1" applyFont="1" applyBorder="1" applyAlignment="1" applyProtection="1">
      <alignment horizontal="right"/>
      <protection locked="0"/>
    </xf>
    <xf numFmtId="49" fontId="9" fillId="0" borderId="0" xfId="0" quotePrefix="1" applyNumberFormat="1" applyFont="1" applyBorder="1" applyAlignment="1">
      <alignment horizontal="left"/>
    </xf>
    <xf numFmtId="165" fontId="9" fillId="0" borderId="33" xfId="0" applyNumberFormat="1" applyFont="1" applyBorder="1" applyAlignment="1">
      <alignment horizontal="right"/>
    </xf>
    <xf numFmtId="37" fontId="9" fillId="0" borderId="5" xfId="0" applyNumberFormat="1" applyFont="1" applyBorder="1" applyAlignment="1">
      <alignment horizontal="right"/>
    </xf>
    <xf numFmtId="37" fontId="9" fillId="0" borderId="32" xfId="0" applyNumberFormat="1" applyFont="1" applyBorder="1" applyAlignment="1">
      <alignment horizontal="right"/>
    </xf>
    <xf numFmtId="165" fontId="9" fillId="2" borderId="32" xfId="0" applyNumberFormat="1" applyFont="1" applyFill="1" applyBorder="1" applyAlignment="1">
      <alignment horizontal="right"/>
    </xf>
    <xf numFmtId="0" fontId="0" fillId="0" borderId="24" xfId="0" applyBorder="1"/>
    <xf numFmtId="37" fontId="9" fillId="0" borderId="9" xfId="0" applyNumberFormat="1" applyFont="1" applyBorder="1" applyAlignment="1">
      <alignment horizontal="right"/>
    </xf>
    <xf numFmtId="4" fontId="13" fillId="0" borderId="26" xfId="0" applyNumberFormat="1" applyFont="1" applyBorder="1"/>
    <xf numFmtId="4" fontId="13" fillId="0" borderId="2" xfId="0" applyNumberFormat="1" applyFont="1" applyBorder="1"/>
    <xf numFmtId="37" fontId="13" fillId="0" borderId="32" xfId="0" applyNumberFormat="1" applyFont="1" applyBorder="1"/>
    <xf numFmtId="3" fontId="9" fillId="8" borderId="15" xfId="0" applyNumberFormat="1" applyFont="1" applyFill="1" applyBorder="1"/>
    <xf numFmtId="3" fontId="0" fillId="8" borderId="5" xfId="0" applyNumberFormat="1" applyFill="1" applyBorder="1"/>
    <xf numFmtId="0" fontId="4" fillId="0" borderId="15" xfId="0" applyFont="1" applyBorder="1"/>
    <xf numFmtId="3" fontId="9" fillId="0" borderId="31" xfId="0" applyNumberFormat="1" applyFont="1" applyBorder="1"/>
    <xf numFmtId="0" fontId="7" fillId="0" borderId="0" xfId="0" quotePrefix="1" applyFont="1" applyBorder="1" applyAlignment="1">
      <alignment horizontal="left"/>
    </xf>
    <xf numFmtId="0" fontId="21" fillId="2" borderId="24" xfId="14" applyBorder="1"/>
    <xf numFmtId="182" fontId="21" fillId="0" borderId="56" xfId="14" applyNumberFormat="1" applyFill="1" applyBorder="1"/>
    <xf numFmtId="171" fontId="15" fillId="0" borderId="56" xfId="14" applyNumberFormat="1" applyFont="1" applyFill="1" applyBorder="1"/>
    <xf numFmtId="37" fontId="14" fillId="2" borderId="32" xfId="14" applyNumberFormat="1" applyFont="1" applyBorder="1"/>
    <xf numFmtId="0" fontId="27" fillId="0" borderId="0" xfId="0" applyFont="1" applyBorder="1"/>
    <xf numFmtId="37" fontId="9" fillId="0" borderId="83" xfId="4" applyNumberFormat="1" applyFont="1" applyBorder="1" applyProtection="1"/>
    <xf numFmtId="0" fontId="40" fillId="6" borderId="9" xfId="0" applyFont="1" applyFill="1" applyBorder="1" applyAlignment="1">
      <alignment horizontal="center" vertical="center" wrapText="1"/>
    </xf>
    <xf numFmtId="0" fontId="8" fillId="0" borderId="4" xfId="0" applyFont="1" applyBorder="1" applyAlignment="1">
      <alignment horizontal="centerContinuous"/>
    </xf>
    <xf numFmtId="0" fontId="4" fillId="0" borderId="4" xfId="0" applyFont="1" applyBorder="1" applyAlignment="1">
      <alignment horizontal="centerContinuous"/>
    </xf>
    <xf numFmtId="0" fontId="10" fillId="0" borderId="0" xfId="0" applyFont="1" applyAlignment="1">
      <alignment horizontal="left"/>
    </xf>
    <xf numFmtId="0" fontId="77" fillId="0" borderId="10" xfId="0" applyFont="1" applyBorder="1"/>
    <xf numFmtId="0" fontId="61" fillId="0" borderId="24" xfId="0" applyFont="1" applyBorder="1" applyAlignment="1">
      <alignment horizontal="center"/>
    </xf>
    <xf numFmtId="0" fontId="9" fillId="0" borderId="39" xfId="0" applyFont="1" applyBorder="1" applyAlignment="1">
      <alignment horizontal="center" wrapText="1"/>
    </xf>
    <xf numFmtId="0" fontId="9" fillId="0" borderId="79" xfId="0" applyFont="1" applyBorder="1" applyAlignment="1">
      <alignment horizontal="center"/>
    </xf>
    <xf numFmtId="0" fontId="9" fillId="0" borderId="56" xfId="0" applyFont="1" applyBorder="1" applyAlignment="1">
      <alignment horizontal="center"/>
    </xf>
    <xf numFmtId="164" fontId="11" fillId="0" borderId="0" xfId="0" applyNumberFormat="1" applyFont="1" applyAlignment="1">
      <alignment horizontal="left"/>
    </xf>
    <xf numFmtId="164" fontId="23" fillId="0" borderId="0" xfId="0" applyNumberFormat="1" applyFont="1"/>
    <xf numFmtId="0" fontId="23" fillId="0" borderId="16" xfId="0" applyFont="1" applyBorder="1" applyAlignment="1">
      <alignment horizontal="centerContinuous"/>
    </xf>
    <xf numFmtId="0" fontId="13" fillId="0" borderId="34" xfId="0" applyFont="1" applyBorder="1" applyAlignment="1">
      <alignment horizontal="centerContinuous"/>
    </xf>
    <xf numFmtId="49" fontId="0" fillId="0" borderId="0" xfId="0" applyNumberFormat="1"/>
    <xf numFmtId="37" fontId="23" fillId="0" borderId="0" xfId="13" applyNumberFormat="1" applyFont="1" applyFill="1" applyAlignment="1">
      <alignment horizontal="center"/>
    </xf>
    <xf numFmtId="0" fontId="9" fillId="0" borderId="0" xfId="13" applyFont="1" applyFill="1"/>
    <xf numFmtId="37" fontId="23" fillId="0" borderId="0" xfId="13" applyNumberFormat="1" applyFont="1" applyFill="1" applyAlignment="1">
      <alignment horizontal="right"/>
    </xf>
    <xf numFmtId="37" fontId="31" fillId="0" borderId="0" xfId="13" applyNumberFormat="1" applyFont="1" applyFill="1" applyAlignment="1">
      <alignment horizontal="left"/>
    </xf>
    <xf numFmtId="37" fontId="25" fillId="0" borderId="0" xfId="13" applyNumberFormat="1" applyFont="1" applyFill="1"/>
    <xf numFmtId="37" fontId="31" fillId="0" borderId="0" xfId="13" applyNumberFormat="1" applyFont="1" applyFill="1" applyAlignment="1">
      <alignment horizontal="center"/>
    </xf>
    <xf numFmtId="37" fontId="31" fillId="0" borderId="0" xfId="13" applyNumberFormat="1" applyFont="1" applyFill="1" applyAlignment="1">
      <alignment horizontal="right"/>
    </xf>
    <xf numFmtId="37" fontId="14" fillId="0" borderId="0" xfId="14" applyNumberFormat="1" applyFont="1" applyFill="1" applyAlignment="1">
      <alignment horizontal="centerContinuous"/>
    </xf>
    <xf numFmtId="0" fontId="16" fillId="0" borderId="0" xfId="0" applyFont="1" applyAlignment="1">
      <alignment horizontal="right" wrapText="1"/>
    </xf>
    <xf numFmtId="37" fontId="14" fillId="0" borderId="0" xfId="15" applyNumberFormat="1" applyFont="1" applyFill="1" applyAlignment="1">
      <alignment horizontal="right"/>
    </xf>
    <xf numFmtId="0" fontId="77" fillId="0" borderId="0" xfId="0" applyFont="1" applyAlignment="1">
      <alignment vertical="top"/>
    </xf>
    <xf numFmtId="0" fontId="8" fillId="0" borderId="0" xfId="0" applyFont="1" applyAlignment="1">
      <alignment vertical="top"/>
    </xf>
    <xf numFmtId="0" fontId="11" fillId="0" borderId="0" xfId="0" applyFont="1" applyAlignment="1">
      <alignment vertical="top"/>
    </xf>
    <xf numFmtId="0" fontId="52" fillId="0" borderId="0" xfId="0" applyFont="1" applyAlignment="1">
      <alignment vertical="top"/>
    </xf>
    <xf numFmtId="49" fontId="11" fillId="0" borderId="10" xfId="0" applyNumberFormat="1" applyFont="1" applyBorder="1" applyAlignment="1">
      <alignment wrapText="1"/>
    </xf>
    <xf numFmtId="0" fontId="8" fillId="0" borderId="49" xfId="0" applyFont="1" applyBorder="1"/>
    <xf numFmtId="0" fontId="9" fillId="0" borderId="19" xfId="0" applyFont="1" applyBorder="1"/>
    <xf numFmtId="0" fontId="9" fillId="13" borderId="7" xfId="0" applyFont="1" applyFill="1" applyBorder="1" applyAlignment="1">
      <alignment vertical="top"/>
    </xf>
    <xf numFmtId="0" fontId="60" fillId="0" borderId="0" xfId="0" applyFont="1" applyAlignment="1">
      <alignment horizontal="left"/>
    </xf>
    <xf numFmtId="4" fontId="9" fillId="0" borderId="17" xfId="0" applyNumberFormat="1" applyFont="1" applyBorder="1"/>
    <xf numFmtId="4" fontId="9" fillId="0" borderId="34" xfId="0" applyNumberFormat="1" applyFont="1" applyBorder="1" applyProtection="1">
      <protection locked="0"/>
    </xf>
    <xf numFmtId="3" fontId="9" fillId="0" borderId="17" xfId="0" applyNumberFormat="1" applyFont="1" applyBorder="1"/>
    <xf numFmtId="165" fontId="9" fillId="0" borderId="17" xfId="0" applyNumberFormat="1" applyFont="1" applyBorder="1"/>
    <xf numFmtId="4" fontId="9" fillId="0" borderId="5" xfId="0" applyNumberFormat="1" applyFont="1" applyBorder="1" applyAlignment="1">
      <alignment horizontal="right"/>
    </xf>
    <xf numFmtId="4" fontId="9" fillId="0" borderId="5" xfId="0" applyNumberFormat="1" applyFont="1" applyBorder="1" applyAlignment="1" applyProtection="1">
      <alignment horizontal="right"/>
      <protection locked="0"/>
    </xf>
    <xf numFmtId="3" fontId="9" fillId="0" borderId="32" xfId="0" applyNumberFormat="1" applyFont="1" applyBorder="1"/>
    <xf numFmtId="165" fontId="9" fillId="0" borderId="5" xfId="0" applyNumberFormat="1" applyFont="1" applyBorder="1"/>
    <xf numFmtId="3" fontId="9" fillId="0" borderId="3" xfId="0" applyNumberFormat="1" applyFont="1" applyBorder="1"/>
    <xf numFmtId="165" fontId="9" fillId="0" borderId="3" xfId="0" applyNumberFormat="1" applyFont="1" applyBorder="1"/>
    <xf numFmtId="4" fontId="9" fillId="0" borderId="15" xfId="0" applyNumberFormat="1" applyFont="1" applyBorder="1" applyAlignment="1">
      <alignment horizontal="right"/>
    </xf>
    <xf numFmtId="3" fontId="9" fillId="0" borderId="15" xfId="0" applyNumberFormat="1" applyFont="1" applyBorder="1" applyAlignment="1">
      <alignment horizontal="right"/>
    </xf>
    <xf numFmtId="165" fontId="9" fillId="0" borderId="15" xfId="0" applyNumberFormat="1" applyFont="1" applyBorder="1"/>
    <xf numFmtId="4" fontId="9" fillId="0" borderId="15" xfId="0" applyNumberFormat="1" applyFont="1" applyBorder="1" applyProtection="1">
      <protection locked="0"/>
    </xf>
    <xf numFmtId="4" fontId="9" fillId="0" borderId="32" xfId="0" applyNumberFormat="1" applyFont="1" applyBorder="1" applyAlignment="1">
      <alignment horizontal="right"/>
    </xf>
    <xf numFmtId="4" fontId="9" fillId="0" borderId="32" xfId="0" applyNumberFormat="1" applyFont="1" applyBorder="1" applyAlignment="1" applyProtection="1">
      <alignment horizontal="right"/>
      <protection locked="0"/>
    </xf>
    <xf numFmtId="165" fontId="9" fillId="0" borderId="32" xfId="0" applyNumberFormat="1" applyFont="1" applyBorder="1"/>
    <xf numFmtId="37" fontId="9" fillId="0" borderId="17" xfId="0" applyNumberFormat="1" applyFont="1" applyBorder="1"/>
    <xf numFmtId="165" fontId="9" fillId="0" borderId="17" xfId="0" applyNumberFormat="1" applyFont="1" applyBorder="1" applyAlignment="1">
      <alignment horizontal="right"/>
    </xf>
    <xf numFmtId="37" fontId="9" fillId="0" borderId="0" xfId="13" applyNumberFormat="1" applyFont="1" applyFill="1" applyAlignment="1">
      <alignment horizontal="left"/>
    </xf>
    <xf numFmtId="37" fontId="9" fillId="0" borderId="0" xfId="13" applyNumberFormat="1" applyFont="1" applyFill="1" applyAlignment="1">
      <alignment horizontal="left" vertical="top"/>
    </xf>
    <xf numFmtId="37" fontId="13" fillId="0" borderId="4" xfId="13" quotePrefix="1" applyNumberFormat="1" applyFont="1" applyFill="1" applyBorder="1"/>
    <xf numFmtId="37" fontId="13" fillId="0" borderId="44" xfId="13" applyNumberFormat="1" applyFont="1" applyFill="1" applyBorder="1"/>
    <xf numFmtId="37" fontId="9" fillId="0" borderId="44" xfId="0" applyNumberFormat="1" applyFont="1" applyBorder="1"/>
    <xf numFmtId="0" fontId="70" fillId="0" borderId="0" xfId="13" applyFont="1" applyFill="1" applyAlignment="1">
      <alignment wrapText="1"/>
    </xf>
    <xf numFmtId="49" fontId="5" fillId="0" borderId="0" xfId="13" quotePrefix="1" applyNumberFormat="1" applyFont="1" applyFill="1" applyAlignment="1">
      <alignment horizontal="left"/>
    </xf>
    <xf numFmtId="0" fontId="5" fillId="0" borderId="0" xfId="13" quotePrefix="1" applyFont="1" applyFill="1" applyAlignment="1">
      <alignment horizontal="left"/>
    </xf>
    <xf numFmtId="0" fontId="37" fillId="0" borderId="0" xfId="0" quotePrefix="1" applyFont="1"/>
    <xf numFmtId="4" fontId="9" fillId="0" borderId="5" xfId="0" applyNumberFormat="1" applyFont="1" applyBorder="1"/>
    <xf numFmtId="3" fontId="9" fillId="0" borderId="5" xfId="0" applyNumberFormat="1" applyFont="1" applyBorder="1" applyAlignment="1">
      <alignment horizontal="right"/>
    </xf>
    <xf numFmtId="37" fontId="7" fillId="0" borderId="29" xfId="14" applyNumberFormat="1" applyFont="1" applyFill="1" applyBorder="1" applyAlignment="1">
      <alignment horizontal="left"/>
    </xf>
    <xf numFmtId="0" fontId="16" fillId="0" borderId="49" xfId="14" applyFont="1" applyFill="1" applyBorder="1" applyAlignment="1">
      <alignment horizontal="center" vertical="top"/>
    </xf>
    <xf numFmtId="0" fontId="16" fillId="0" borderId="0" xfId="14" applyFont="1" applyFill="1" applyAlignment="1">
      <alignment horizontal="center" vertical="top"/>
    </xf>
    <xf numFmtId="37" fontId="14" fillId="0" borderId="20" xfId="14" applyNumberFormat="1" applyFont="1" applyFill="1" applyBorder="1" applyAlignment="1">
      <alignment horizontal="center" vertical="center"/>
    </xf>
    <xf numFmtId="37" fontId="14" fillId="0" borderId="35" xfId="14" applyNumberFormat="1" applyFont="1" applyFill="1" applyBorder="1" applyAlignment="1">
      <alignment horizontal="center" vertical="center"/>
    </xf>
    <xf numFmtId="182" fontId="21" fillId="0" borderId="17" xfId="14" applyNumberFormat="1" applyFill="1" applyBorder="1"/>
    <xf numFmtId="171" fontId="15" fillId="0" borderId="17" xfId="14" applyNumberFormat="1" applyFont="1" applyFill="1" applyBorder="1"/>
    <xf numFmtId="37" fontId="15" fillId="0" borderId="17" xfId="14" applyNumberFormat="1" applyFont="1" applyFill="1" applyBorder="1"/>
    <xf numFmtId="165" fontId="15" fillId="0" borderId="17" xfId="14" applyNumberFormat="1" applyFont="1" applyFill="1" applyBorder="1"/>
    <xf numFmtId="0" fontId="21" fillId="0" borderId="24" xfId="14" applyFill="1" applyBorder="1"/>
    <xf numFmtId="37" fontId="15" fillId="0" borderId="32" xfId="14" applyNumberFormat="1" applyFont="1" applyFill="1" applyBorder="1"/>
    <xf numFmtId="165" fontId="15" fillId="0" borderId="15" xfId="14" applyNumberFormat="1" applyFont="1" applyFill="1" applyBorder="1" applyAlignment="1">
      <alignment horizontal="right"/>
    </xf>
    <xf numFmtId="37" fontId="7" fillId="0" borderId="15" xfId="14" applyNumberFormat="1" applyFont="1" applyFill="1" applyBorder="1"/>
    <xf numFmtId="37" fontId="7" fillId="0" borderId="17" xfId="14" applyNumberFormat="1" applyFont="1" applyFill="1" applyBorder="1"/>
    <xf numFmtId="38" fontId="5" fillId="0" borderId="85" xfId="0" applyNumberFormat="1" applyFont="1" applyBorder="1"/>
    <xf numFmtId="0" fontId="8" fillId="9" borderId="73" xfId="0" applyFont="1" applyFill="1" applyBorder="1"/>
    <xf numFmtId="0" fontId="9" fillId="13" borderId="22" xfId="0" applyFont="1" applyFill="1" applyBorder="1"/>
    <xf numFmtId="0" fontId="9" fillId="13" borderId="7" xfId="0" applyFont="1" applyFill="1" applyBorder="1"/>
    <xf numFmtId="0" fontId="9" fillId="13" borderId="22" xfId="0" applyFont="1" applyFill="1" applyBorder="1" applyAlignment="1">
      <alignment vertical="top"/>
    </xf>
    <xf numFmtId="0" fontId="63" fillId="0" borderId="0" xfId="8" applyFont="1" applyFill="1" applyProtection="1"/>
    <xf numFmtId="0" fontId="37" fillId="0" borderId="0" xfId="8" applyFont="1" applyFill="1" applyProtection="1"/>
    <xf numFmtId="0" fontId="7" fillId="0" borderId="61" xfId="0" applyFont="1" applyBorder="1" applyAlignment="1">
      <alignment horizontal="left"/>
    </xf>
    <xf numFmtId="0" fontId="16" fillId="0" borderId="61" xfId="0" applyFont="1" applyBorder="1" applyAlignment="1">
      <alignment horizontal="left"/>
    </xf>
    <xf numFmtId="0" fontId="7" fillId="0" borderId="62" xfId="0" applyFont="1" applyBorder="1" applyAlignment="1">
      <alignment horizontal="left"/>
    </xf>
    <xf numFmtId="0" fontId="16" fillId="14" borderId="86" xfId="0" applyFont="1" applyFill="1" applyBorder="1" applyAlignment="1">
      <alignment horizontal="left"/>
    </xf>
    <xf numFmtId="0" fontId="40" fillId="0" borderId="56" xfId="0" applyFont="1" applyBorder="1" applyAlignment="1">
      <alignment horizontal="justify" vertical="top" wrapText="1"/>
    </xf>
    <xf numFmtId="0" fontId="40" fillId="0" borderId="9" xfId="0" quotePrefix="1" applyFont="1" applyBorder="1" applyAlignment="1">
      <alignment horizontal="justify" vertical="top" wrapText="1"/>
    </xf>
    <xf numFmtId="0" fontId="70" fillId="0" borderId="0" xfId="0" applyFont="1" applyAlignment="1">
      <alignment wrapText="1"/>
    </xf>
    <xf numFmtId="0" fontId="7" fillId="0" borderId="0" xfId="0" applyFont="1" applyAlignment="1">
      <alignment horizontal="left"/>
    </xf>
    <xf numFmtId="37" fontId="9" fillId="0" borderId="44" xfId="4" applyNumberFormat="1" applyFont="1" applyFill="1" applyBorder="1" applyAlignment="1" applyProtection="1"/>
    <xf numFmtId="0" fontId="40" fillId="0" borderId="19" xfId="0" applyFont="1" applyBorder="1" applyAlignment="1">
      <alignment horizontal="left" vertical="top" wrapText="1"/>
    </xf>
    <xf numFmtId="0" fontId="40" fillId="0" borderId="9" xfId="18" applyFont="1" applyFill="1" applyBorder="1" applyAlignment="1">
      <alignment horizontal="left" vertical="top" wrapText="1"/>
    </xf>
    <xf numFmtId="0" fontId="5" fillId="0" borderId="0" xfId="0" applyFont="1" applyAlignment="1">
      <alignment horizontal="justify" wrapText="1"/>
    </xf>
    <xf numFmtId="0" fontId="0" fillId="0" borderId="0" xfId="0" applyAlignment="1">
      <alignment horizontal="justify"/>
    </xf>
    <xf numFmtId="187" fontId="7" fillId="0" borderId="0" xfId="0" applyNumberFormat="1" applyFont="1" applyBorder="1" applyAlignment="1">
      <alignment horizontal="right"/>
    </xf>
    <xf numFmtId="0" fontId="64" fillId="0" borderId="0" xfId="22" applyFont="1"/>
    <xf numFmtId="37" fontId="89" fillId="0" borderId="0" xfId="22" applyNumberFormat="1" applyFont="1" applyAlignment="1">
      <alignment horizontal="right"/>
    </xf>
    <xf numFmtId="37" fontId="64" fillId="0" borderId="0" xfId="22" applyNumberFormat="1" applyFont="1" applyAlignment="1">
      <alignment horizontal="left"/>
    </xf>
    <xf numFmtId="0" fontId="83" fillId="0" borderId="0" xfId="22" applyFont="1"/>
    <xf numFmtId="37" fontId="64" fillId="0" borderId="0" xfId="22" applyNumberFormat="1" applyFont="1" applyAlignment="1">
      <alignment horizontal="left" vertical="center"/>
    </xf>
    <xf numFmtId="37" fontId="64" fillId="0" borderId="0" xfId="22" applyNumberFormat="1" applyFont="1"/>
    <xf numFmtId="0" fontId="5" fillId="0" borderId="0" xfId="4" applyNumberFormat="1" applyFont="1" applyFill="1" applyBorder="1" applyAlignment="1" applyProtection="1">
      <alignment horizontal="left" vertical="top"/>
    </xf>
    <xf numFmtId="177" fontId="5" fillId="0" borderId="0" xfId="12" applyFont="1" applyFill="1"/>
    <xf numFmtId="177" fontId="5" fillId="0" borderId="0" xfId="12" applyFont="1" applyFill="1" applyAlignment="1">
      <alignment horizontal="left" vertical="top"/>
    </xf>
    <xf numFmtId="177" fontId="89" fillId="0" borderId="9" xfId="12" applyFont="1" applyFill="1" applyBorder="1" applyAlignment="1">
      <alignment wrapText="1"/>
    </xf>
    <xf numFmtId="177" fontId="89" fillId="0" borderId="9" xfId="12" applyFont="1" applyFill="1" applyBorder="1" applyAlignment="1">
      <alignment horizontal="center" wrapText="1"/>
    </xf>
    <xf numFmtId="177" fontId="104" fillId="0" borderId="0" xfId="12" applyFont="1" applyFill="1" applyAlignment="1">
      <alignment horizontal="center"/>
    </xf>
    <xf numFmtId="177" fontId="10" fillId="0" borderId="0" xfId="12" quotePrefix="1" applyFont="1" applyFill="1" applyAlignment="1">
      <alignment horizontal="center"/>
    </xf>
    <xf numFmtId="177" fontId="89" fillId="0" borderId="20" xfId="12" applyFont="1" applyFill="1" applyBorder="1" applyAlignment="1">
      <alignment wrapText="1"/>
    </xf>
    <xf numFmtId="177" fontId="89" fillId="0" borderId="0" xfId="12" applyFont="1" applyFill="1" applyAlignment="1">
      <alignment wrapText="1"/>
    </xf>
    <xf numFmtId="177" fontId="102" fillId="0" borderId="0" xfId="12" applyFont="1" applyFill="1" applyAlignment="1">
      <alignment horizontal="center" wrapText="1"/>
    </xf>
    <xf numFmtId="177" fontId="5" fillId="0" borderId="0" xfId="9" quotePrefix="1" applyNumberFormat="1" applyFont="1" applyFill="1" applyAlignment="1" applyProtection="1">
      <alignment horizontal="left"/>
    </xf>
    <xf numFmtId="177" fontId="5" fillId="0" borderId="0" xfId="12" applyFont="1" applyFill="1" applyAlignment="1">
      <alignment horizontal="left"/>
    </xf>
    <xf numFmtId="37" fontId="5" fillId="0" borderId="9" xfId="12" applyNumberFormat="1" applyFont="1" applyFill="1" applyBorder="1" applyProtection="1">
      <protection locked="0"/>
    </xf>
    <xf numFmtId="37" fontId="5" fillId="0" borderId="9" xfId="12" applyNumberFormat="1" applyFont="1" applyFill="1" applyBorder="1"/>
    <xf numFmtId="177" fontId="5" fillId="0" borderId="0" xfId="9" quotePrefix="1" applyNumberFormat="1" applyFont="1" applyFill="1" applyAlignment="1" applyProtection="1">
      <alignment horizontal="right"/>
    </xf>
    <xf numFmtId="177" fontId="89" fillId="0" borderId="0" xfId="12" applyFont="1" applyFill="1" applyAlignment="1">
      <alignment horizontal="center" vertical="top" wrapText="1"/>
    </xf>
    <xf numFmtId="177" fontId="105" fillId="0" borderId="0" xfId="9" quotePrefix="1" applyNumberFormat="1" applyFont="1" applyFill="1" applyAlignment="1" applyProtection="1">
      <alignment horizontal="right"/>
    </xf>
    <xf numFmtId="177" fontId="5" fillId="0" borderId="0" xfId="12" quotePrefix="1" applyFont="1" applyFill="1"/>
    <xf numFmtId="177" fontId="10" fillId="0" borderId="0" xfId="12" applyFont="1" applyFill="1"/>
    <xf numFmtId="37" fontId="5" fillId="0" borderId="0" xfId="22" applyNumberFormat="1" applyFont="1" applyAlignment="1">
      <alignment horizontal="right"/>
    </xf>
    <xf numFmtId="37" fontId="64" fillId="0" borderId="0" xfId="22" applyNumberFormat="1" applyFont="1" applyAlignment="1">
      <alignment horizontal="right"/>
    </xf>
    <xf numFmtId="37" fontId="5" fillId="0" borderId="7" xfId="12" applyNumberFormat="1" applyFont="1" applyFill="1" applyBorder="1"/>
    <xf numFmtId="37" fontId="5" fillId="0" borderId="9" xfId="22" applyNumberFormat="1" applyFont="1" applyBorder="1" applyAlignment="1">
      <alignment horizontal="right"/>
    </xf>
    <xf numFmtId="177" fontId="10" fillId="0" borderId="0" xfId="12" applyFont="1" applyFill="1" applyAlignment="1">
      <alignment horizontal="left"/>
    </xf>
    <xf numFmtId="37" fontId="5" fillId="14" borderId="9" xfId="22" applyNumberFormat="1" applyFont="1" applyFill="1" applyBorder="1" applyAlignment="1">
      <alignment horizontal="right"/>
    </xf>
    <xf numFmtId="177" fontId="5" fillId="14" borderId="9" xfId="12" applyFont="1" applyFill="1" applyBorder="1"/>
    <xf numFmtId="177" fontId="89" fillId="0" borderId="0" xfId="12" quotePrefix="1" applyFont="1" applyFill="1" applyAlignment="1">
      <alignment horizontal="left"/>
    </xf>
    <xf numFmtId="0" fontId="84" fillId="0" borderId="0" xfId="0" applyFont="1" applyAlignment="1">
      <alignment horizontal="left" vertical="top"/>
    </xf>
    <xf numFmtId="0" fontId="84" fillId="0" borderId="0" xfId="0" applyFont="1" applyAlignment="1">
      <alignment horizontal="right"/>
    </xf>
    <xf numFmtId="164" fontId="63" fillId="0" borderId="0" xfId="0" applyNumberFormat="1" applyFont="1"/>
    <xf numFmtId="49" fontId="63" fillId="6" borderId="0" xfId="0" applyNumberFormat="1" applyFont="1" applyFill="1" applyAlignment="1">
      <alignment horizontal="left"/>
    </xf>
    <xf numFmtId="0" fontId="63" fillId="6" borderId="0" xfId="0" applyFont="1" applyFill="1"/>
    <xf numFmtId="49" fontId="63" fillId="6" borderId="0" xfId="0" applyNumberFormat="1" applyFont="1" applyFill="1"/>
    <xf numFmtId="0" fontId="91" fillId="0" borderId="0" xfId="0" applyFont="1"/>
    <xf numFmtId="0" fontId="63" fillId="0" borderId="0" xfId="0" quotePrefix="1" applyFont="1" applyAlignment="1">
      <alignment horizontal="right"/>
    </xf>
    <xf numFmtId="0" fontId="63" fillId="0" borderId="0" xfId="8" quotePrefix="1" applyFont="1" applyFill="1" applyAlignment="1" applyProtection="1">
      <alignment horizontal="right"/>
    </xf>
    <xf numFmtId="0" fontId="75" fillId="5" borderId="0" xfId="8" quotePrefix="1" applyFont="1" applyFill="1" applyAlignment="1" applyProtection="1">
      <alignment horizontal="right"/>
    </xf>
    <xf numFmtId="0" fontId="100" fillId="0" borderId="9" xfId="0" applyFont="1" applyBorder="1" applyAlignment="1">
      <alignment horizontal="left" vertical="top" wrapText="1"/>
    </xf>
    <xf numFmtId="0" fontId="63" fillId="0" borderId="0" xfId="0" quotePrefix="1" applyFont="1" applyAlignment="1">
      <alignment vertical="top"/>
    </xf>
    <xf numFmtId="49" fontId="63" fillId="0" borderId="0" xfId="0" quotePrefix="1" applyNumberFormat="1" applyFont="1" applyBorder="1" applyAlignment="1">
      <alignment horizontal="left"/>
    </xf>
    <xf numFmtId="0" fontId="106" fillId="0" borderId="9" xfId="0" applyFont="1" applyBorder="1" applyAlignment="1">
      <alignment horizontal="center" vertical="top" wrapText="1"/>
    </xf>
    <xf numFmtId="0" fontId="63" fillId="0" borderId="0" xfId="0" quotePrefix="1" applyFont="1" applyAlignment="1">
      <alignment horizontal="left" vertical="top"/>
    </xf>
    <xf numFmtId="0" fontId="100" fillId="0" borderId="9" xfId="0" applyFont="1" applyBorder="1" applyAlignment="1">
      <alignment vertical="top" wrapText="1"/>
    </xf>
    <xf numFmtId="0" fontId="9" fillId="9" borderId="74" xfId="0" applyFont="1" applyFill="1" applyBorder="1"/>
    <xf numFmtId="0" fontId="5" fillId="0" borderId="4" xfId="0" applyFont="1" applyBorder="1" applyAlignment="1">
      <alignment horizontal="center"/>
    </xf>
    <xf numFmtId="0" fontId="0" fillId="0" borderId="2" xfId="0" applyBorder="1"/>
    <xf numFmtId="49" fontId="5" fillId="0" borderId="4" xfId="0" applyNumberFormat="1" applyFont="1" applyBorder="1" applyAlignment="1">
      <alignment horizontal="left"/>
    </xf>
    <xf numFmtId="0" fontId="10" fillId="0" borderId="0" xfId="0" applyFont="1" applyAlignment="1">
      <alignment horizontal="right"/>
    </xf>
    <xf numFmtId="0" fontId="9" fillId="0" borderId="0" xfId="0" applyFont="1" applyAlignment="1">
      <alignment horizontal="right"/>
    </xf>
    <xf numFmtId="0" fontId="7" fillId="0" borderId="0" xfId="0" applyFont="1" applyBorder="1" applyAlignment="1">
      <alignment wrapText="1"/>
    </xf>
    <xf numFmtId="37" fontId="9" fillId="0" borderId="0" xfId="0" applyNumberFormat="1" applyFont="1"/>
    <xf numFmtId="0" fontId="9" fillId="0" borderId="15" xfId="0" applyFont="1" applyBorder="1" applyAlignment="1">
      <alignment horizontal="center"/>
    </xf>
    <xf numFmtId="0" fontId="0" fillId="0" borderId="32" xfId="0" applyBorder="1"/>
    <xf numFmtId="0" fontId="9" fillId="0" borderId="0" xfId="0" applyFont="1" applyAlignment="1">
      <alignment horizontal="left" vertical="top" wrapText="1"/>
    </xf>
    <xf numFmtId="0" fontId="9" fillId="0" borderId="0" xfId="0" applyFont="1" applyAlignment="1">
      <alignment horizontal="center" wrapText="1"/>
    </xf>
    <xf numFmtId="0" fontId="0" fillId="0" borderId="0" xfId="0" applyAlignment="1">
      <alignment horizontal="left" vertical="center" wrapText="1"/>
    </xf>
    <xf numFmtId="37" fontId="9" fillId="0" borderId="0" xfId="0" applyNumberFormat="1" applyFont="1" applyAlignment="1">
      <alignment horizontal="right"/>
    </xf>
    <xf numFmtId="165" fontId="9" fillId="0" borderId="0" xfId="0" applyNumberFormat="1" applyFont="1" applyAlignment="1">
      <alignment horizontal="right"/>
    </xf>
    <xf numFmtId="3" fontId="9" fillId="0" borderId="0" xfId="11" applyNumberFormat="1" applyFont="1" applyAlignment="1">
      <alignment horizontal="right"/>
    </xf>
    <xf numFmtId="3" fontId="9" fillId="0" borderId="0" xfId="0" applyNumberFormat="1" applyFont="1"/>
    <xf numFmtId="37" fontId="11" fillId="0" borderId="0" xfId="0" applyNumberFormat="1" applyFont="1" applyBorder="1" applyAlignment="1">
      <alignment horizontal="center"/>
    </xf>
    <xf numFmtId="49" fontId="5" fillId="0" borderId="45" xfId="0" applyNumberFormat="1" applyFont="1" applyBorder="1" applyAlignment="1">
      <alignment horizontal="center"/>
    </xf>
    <xf numFmtId="37" fontId="13" fillId="0" borderId="0" xfId="13" applyNumberFormat="1" applyFont="1" applyFill="1" applyAlignment="1">
      <alignment horizontal="left" vertical="top" wrapText="1"/>
    </xf>
    <xf numFmtId="37" fontId="13" fillId="0" borderId="0" xfId="13" applyNumberFormat="1" applyFont="1" applyFill="1" applyAlignment="1">
      <alignment horizontal="left" vertical="top"/>
    </xf>
    <xf numFmtId="0" fontId="26" fillId="0" borderId="0" xfId="0" applyFont="1"/>
    <xf numFmtId="0" fontId="9" fillId="0" borderId="0" xfId="13" applyFont="1" applyFill="1" applyAlignment="1">
      <alignment horizontal="left" vertical="top" wrapText="1"/>
    </xf>
    <xf numFmtId="37" fontId="13" fillId="2" borderId="0" xfId="13" applyNumberFormat="1" applyFont="1"/>
    <xf numFmtId="0" fontId="63" fillId="0" borderId="0" xfId="13" applyFont="1" applyFill="1" applyAlignment="1">
      <alignment horizontal="left" vertical="top" wrapText="1"/>
    </xf>
    <xf numFmtId="0" fontId="5" fillId="0" borderId="0" xfId="0" applyFont="1" applyAlignment="1">
      <alignment horizontal="left"/>
    </xf>
    <xf numFmtId="0" fontId="5" fillId="0" borderId="0" xfId="0" quotePrefix="1" applyFont="1" applyAlignment="1">
      <alignment horizontal="left"/>
    </xf>
    <xf numFmtId="49" fontId="25" fillId="0" borderId="0" xfId="13" applyNumberFormat="1" applyFont="1" applyFill="1" applyAlignment="1">
      <alignment horizontal="left"/>
    </xf>
    <xf numFmtId="37" fontId="5" fillId="0" borderId="0" xfId="0" applyNumberFormat="1" applyFont="1" applyAlignment="1">
      <alignment horizontal="right"/>
    </xf>
    <xf numFmtId="0" fontId="5" fillId="0" borderId="0" xfId="13" applyFont="1" applyFill="1" applyAlignment="1">
      <alignment horizontal="left"/>
    </xf>
    <xf numFmtId="0" fontId="5" fillId="0" borderId="0" xfId="0" applyFont="1" applyAlignment="1">
      <alignment vertical="top" wrapText="1"/>
    </xf>
    <xf numFmtId="0" fontId="0" fillId="0" borderId="0" xfId="0" applyAlignment="1">
      <alignment wrapText="1"/>
    </xf>
    <xf numFmtId="0" fontId="9" fillId="0" borderId="0" xfId="13" applyFont="1" applyFill="1" applyAlignment="1">
      <alignment wrapText="1"/>
    </xf>
    <xf numFmtId="0" fontId="9" fillId="0" borderId="0" xfId="0" applyFont="1" applyAlignment="1">
      <alignment wrapText="1"/>
    </xf>
    <xf numFmtId="0" fontId="10" fillId="0" borderId="26" xfId="0" applyFont="1" applyBorder="1"/>
    <xf numFmtId="0" fontId="10" fillId="0" borderId="0" xfId="0" applyFont="1"/>
    <xf numFmtId="0" fontId="16" fillId="0" borderId="0" xfId="0" applyFont="1"/>
    <xf numFmtId="37" fontId="14" fillId="0" borderId="20" xfId="14" applyNumberFormat="1" applyFont="1" applyFill="1" applyBorder="1" applyAlignment="1">
      <alignment horizontal="center"/>
    </xf>
    <xf numFmtId="37" fontId="14" fillId="0" borderId="35" xfId="14" applyNumberFormat="1" applyFont="1" applyFill="1" applyBorder="1" applyAlignment="1">
      <alignment horizontal="center"/>
    </xf>
    <xf numFmtId="0" fontId="5" fillId="0" borderId="0" xfId="0" applyFont="1" applyAlignment="1">
      <alignment horizontal="right"/>
    </xf>
    <xf numFmtId="0" fontId="9" fillId="0" borderId="0" xfId="0" applyFont="1" applyAlignment="1">
      <alignment horizontal="justify" vertical="top" wrapText="1"/>
    </xf>
    <xf numFmtId="0" fontId="0" fillId="0" borderId="0" xfId="0" applyAlignment="1">
      <alignment horizontal="justify" wrapText="1"/>
    </xf>
    <xf numFmtId="0" fontId="9" fillId="0" borderId="0" xfId="0" applyFont="1" applyAlignment="1">
      <alignment vertical="top" wrapText="1"/>
    </xf>
    <xf numFmtId="0" fontId="9" fillId="0" borderId="0" xfId="0" applyFont="1" applyAlignment="1">
      <alignment horizontal="left" wrapText="1"/>
    </xf>
    <xf numFmtId="0" fontId="9" fillId="0" borderId="0" xfId="0" applyFont="1" applyAlignment="1">
      <alignment horizontal="left" vertical="top"/>
    </xf>
    <xf numFmtId="0" fontId="46" fillId="5" borderId="0" xfId="8" applyFont="1" applyFill="1" applyProtection="1"/>
    <xf numFmtId="0" fontId="9" fillId="0" borderId="0" xfId="21" applyFont="1" applyFill="1" applyAlignment="1">
      <alignment horizontal="left" vertical="top"/>
    </xf>
    <xf numFmtId="0" fontId="11" fillId="0" borderId="0" xfId="0" applyFont="1" applyAlignment="1">
      <alignment horizontal="right"/>
    </xf>
    <xf numFmtId="0" fontId="9" fillId="0" borderId="0" xfId="0" applyFont="1" applyAlignment="1">
      <alignment horizontal="right" wrapText="1"/>
    </xf>
    <xf numFmtId="0" fontId="9" fillId="13" borderId="7" xfId="0" applyFont="1" applyFill="1" applyBorder="1" applyAlignment="1">
      <alignment horizontal="left" wrapText="1"/>
    </xf>
    <xf numFmtId="0" fontId="11" fillId="0" borderId="0" xfId="0" applyFont="1" applyAlignment="1">
      <alignment horizontal="left"/>
    </xf>
    <xf numFmtId="49" fontId="11" fillId="0" borderId="51" xfId="0" applyNumberFormat="1" applyFont="1" applyBorder="1" applyAlignment="1">
      <alignment horizontal="center"/>
    </xf>
    <xf numFmtId="49" fontId="11" fillId="0" borderId="10" xfId="0" applyNumberFormat="1" applyFont="1" applyBorder="1" applyAlignment="1">
      <alignment horizontal="center"/>
    </xf>
    <xf numFmtId="0" fontId="9" fillId="0" borderId="29" xfId="0" applyFont="1" applyBorder="1" applyAlignment="1">
      <alignment horizontal="right"/>
    </xf>
    <xf numFmtId="0" fontId="9" fillId="0" borderId="49" xfId="0" applyFont="1" applyBorder="1" applyAlignment="1">
      <alignment horizontal="right"/>
    </xf>
    <xf numFmtId="188" fontId="9" fillId="0" borderId="51" xfId="0" applyNumberFormat="1" applyFont="1" applyBorder="1" applyAlignment="1">
      <alignment horizontal="right"/>
    </xf>
    <xf numFmtId="174" fontId="9" fillId="0" borderId="51" xfId="0" applyNumberFormat="1" applyFont="1" applyBorder="1" applyAlignment="1">
      <alignment horizontal="right"/>
    </xf>
    <xf numFmtId="0" fontId="16" fillId="0" borderId="0" xfId="0" applyFont="1" applyBorder="1" applyAlignment="1">
      <alignment horizontal="center" wrapText="1"/>
    </xf>
    <xf numFmtId="49" fontId="9" fillId="0" borderId="0" xfId="0" applyNumberFormat="1" applyFont="1" applyBorder="1" applyAlignment="1">
      <alignment horizontal="left"/>
    </xf>
    <xf numFmtId="0" fontId="40" fillId="0" borderId="24" xfId="0" applyFont="1" applyBorder="1" applyAlignment="1">
      <alignment vertical="top" wrapText="1"/>
    </xf>
    <xf numFmtId="0" fontId="40" fillId="0" borderId="17" xfId="0" applyFont="1" applyBorder="1" applyAlignment="1">
      <alignment vertical="top" wrapText="1"/>
    </xf>
    <xf numFmtId="0" fontId="40" fillId="0" borderId="24" xfId="0" applyFont="1" applyBorder="1" applyAlignment="1">
      <alignment horizontal="center" vertical="top" wrapText="1"/>
    </xf>
    <xf numFmtId="0" fontId="40" fillId="0" borderId="17" xfId="0" applyFont="1" applyBorder="1" applyAlignment="1">
      <alignment horizontal="center" vertical="top" wrapText="1"/>
    </xf>
    <xf numFmtId="0" fontId="40" fillId="0" borderId="24" xfId="0" applyFont="1" applyBorder="1" applyAlignment="1">
      <alignment horizontal="center" vertical="center" wrapText="1"/>
    </xf>
    <xf numFmtId="0" fontId="40" fillId="0" borderId="17" xfId="0" applyFont="1" applyBorder="1" applyAlignment="1">
      <alignment horizontal="center" vertical="center" wrapText="1"/>
    </xf>
    <xf numFmtId="37" fontId="9" fillId="7" borderId="15" xfId="0" applyNumberFormat="1" applyFont="1" applyFill="1" applyBorder="1" applyAlignment="1">
      <alignment horizontal="right"/>
    </xf>
    <xf numFmtId="37" fontId="9" fillId="0" borderId="15" xfId="0" applyNumberFormat="1" applyFont="1" applyBorder="1" applyAlignment="1" applyProtection="1">
      <alignment horizontal="right"/>
      <protection locked="0"/>
    </xf>
    <xf numFmtId="37" fontId="9" fillId="2" borderId="15" xfId="0" applyNumberFormat="1" applyFont="1" applyFill="1" applyBorder="1" applyAlignment="1">
      <alignment horizontal="right"/>
    </xf>
    <xf numFmtId="165" fontId="9" fillId="2" borderId="55" xfId="0" applyNumberFormat="1" applyFont="1" applyFill="1" applyBorder="1" applyAlignment="1">
      <alignment horizontal="right"/>
    </xf>
    <xf numFmtId="0" fontId="100" fillId="11" borderId="9" xfId="0" applyFont="1" applyFill="1" applyBorder="1" applyAlignment="1">
      <alignment horizontal="center" vertical="center" wrapText="1"/>
    </xf>
    <xf numFmtId="4" fontId="13" fillId="0" borderId="87" xfId="0" applyNumberFormat="1" applyFont="1" applyBorder="1" applyAlignment="1">
      <alignment horizontal="right"/>
    </xf>
    <xf numFmtId="37" fontId="13" fillId="0" borderId="85" xfId="0" applyNumberFormat="1" applyFont="1" applyBorder="1" applyAlignment="1">
      <alignment horizontal="right"/>
    </xf>
    <xf numFmtId="0" fontId="42" fillId="0" borderId="9" xfId="0" applyFont="1" applyBorder="1" applyAlignment="1">
      <alignment horizontal="center" vertical="center" wrapText="1"/>
    </xf>
    <xf numFmtId="37" fontId="7" fillId="0" borderId="88" xfId="11" quotePrefix="1" applyNumberFormat="1" applyFont="1" applyBorder="1" applyAlignment="1">
      <alignment horizontal="right"/>
    </xf>
    <xf numFmtId="37" fontId="7" fillId="0" borderId="0" xfId="11" quotePrefix="1" applyNumberFormat="1" applyFont="1" applyBorder="1" applyAlignment="1">
      <alignment horizontal="right"/>
    </xf>
    <xf numFmtId="37" fontId="7" fillId="0" borderId="34" xfId="11" applyNumberFormat="1" applyFont="1" applyBorder="1" applyAlignment="1" applyProtection="1">
      <alignment horizontal="right"/>
      <protection locked="0"/>
    </xf>
    <xf numFmtId="37" fontId="7" fillId="0" borderId="23" xfId="11" applyNumberFormat="1" applyFont="1" applyBorder="1" applyAlignment="1" applyProtection="1">
      <alignment horizontal="right"/>
      <protection locked="0"/>
    </xf>
    <xf numFmtId="37" fontId="7" fillId="0" borderId="23" xfId="0" applyNumberFormat="1" applyFont="1" applyBorder="1" applyAlignment="1">
      <alignment horizontal="right"/>
    </xf>
    <xf numFmtId="37" fontId="7" fillId="0" borderId="33" xfId="11" applyNumberFormat="1" applyFont="1" applyBorder="1" applyAlignment="1" applyProtection="1">
      <alignment horizontal="right"/>
      <protection locked="0"/>
    </xf>
    <xf numFmtId="37" fontId="7" fillId="0" borderId="9" xfId="11" applyNumberFormat="1" applyFont="1" applyBorder="1" applyAlignment="1">
      <alignment horizontal="right"/>
    </xf>
    <xf numFmtId="0" fontId="9" fillId="0" borderId="12" xfId="0" applyFont="1" applyBorder="1"/>
    <xf numFmtId="0" fontId="37" fillId="5" borderId="90" xfId="8" quotePrefix="1" applyFont="1" applyFill="1" applyBorder="1" applyAlignment="1" applyProtection="1">
      <alignment horizontal="right" vertical="center"/>
    </xf>
    <xf numFmtId="3" fontId="9" fillId="15" borderId="3" xfId="0" applyNumberFormat="1" applyFont="1" applyFill="1" applyBorder="1"/>
    <xf numFmtId="4" fontId="9" fillId="15" borderId="34" xfId="0" applyNumberFormat="1" applyFont="1" applyFill="1" applyBorder="1" applyAlignment="1">
      <alignment horizontal="right"/>
    </xf>
    <xf numFmtId="4" fontId="9" fillId="16" borderId="5" xfId="0" applyNumberFormat="1" applyFont="1" applyFill="1" applyBorder="1" applyAlignment="1">
      <alignment horizontal="right"/>
    </xf>
    <xf numFmtId="37" fontId="7" fillId="0" borderId="17" xfId="11" applyNumberFormat="1" applyFont="1" applyBorder="1" applyAlignment="1">
      <alignment horizontal="right"/>
    </xf>
    <xf numFmtId="0" fontId="74" fillId="0" borderId="0" xfId="0" quotePrefix="1" applyFont="1" applyAlignment="1">
      <alignment horizontal="right" vertical="center"/>
    </xf>
    <xf numFmtId="49" fontId="63" fillId="0" borderId="0" xfId="0" quotePrefix="1" applyNumberFormat="1" applyFont="1"/>
    <xf numFmtId="0" fontId="9" fillId="0" borderId="60" xfId="0" applyFont="1" applyBorder="1"/>
    <xf numFmtId="0" fontId="108" fillId="0" borderId="0" xfId="0" applyFont="1" applyAlignment="1">
      <alignment vertical="center"/>
    </xf>
    <xf numFmtId="0" fontId="109" fillId="0" borderId="0" xfId="0" applyFont="1"/>
    <xf numFmtId="0" fontId="108" fillId="0" borderId="0" xfId="0" applyFont="1"/>
    <xf numFmtId="0" fontId="9" fillId="0" borderId="0" xfId="0" applyFont="1" applyBorder="1" applyAlignment="1">
      <alignment horizontal="center"/>
    </xf>
    <xf numFmtId="0" fontId="106" fillId="0" borderId="9" xfId="0" applyFont="1" applyBorder="1" applyAlignment="1">
      <alignment vertical="top" wrapText="1"/>
    </xf>
    <xf numFmtId="0" fontId="106" fillId="0" borderId="7" xfId="0" applyFont="1" applyBorder="1" applyAlignment="1">
      <alignment vertical="top" wrapText="1"/>
    </xf>
    <xf numFmtId="0" fontId="106" fillId="0" borderId="9" xfId="0" applyFont="1" applyBorder="1" applyAlignment="1">
      <alignment horizontal="left" vertical="top" wrapText="1"/>
    </xf>
    <xf numFmtId="0" fontId="40" fillId="11" borderId="9" xfId="0" applyFont="1" applyFill="1" applyBorder="1" applyAlignment="1">
      <alignment horizontal="center" vertical="center" wrapText="1"/>
    </xf>
    <xf numFmtId="4" fontId="13" fillId="0" borderId="31" xfId="0" applyNumberFormat="1" applyFont="1" applyBorder="1" applyAlignment="1">
      <alignment horizontal="center"/>
    </xf>
    <xf numFmtId="0" fontId="13" fillId="0" borderId="32" xfId="0" applyFont="1" applyBorder="1" applyAlignment="1">
      <alignment horizontal="center"/>
    </xf>
    <xf numFmtId="4" fontId="13" fillId="0" borderId="9" xfId="0" applyNumberFormat="1" applyFont="1" applyBorder="1" applyAlignment="1">
      <alignment horizontal="right"/>
    </xf>
    <xf numFmtId="37" fontId="13" fillId="0" borderId="9" xfId="0" applyNumberFormat="1" applyFont="1" applyBorder="1"/>
    <xf numFmtId="4" fontId="13" fillId="0" borderId="32" xfId="0" applyNumberFormat="1" applyFont="1" applyBorder="1"/>
    <xf numFmtId="37" fontId="9" fillId="0" borderId="32" xfId="0" applyNumberFormat="1" applyFont="1" applyBorder="1" applyProtection="1">
      <protection locked="0"/>
    </xf>
    <xf numFmtId="4" fontId="13" fillId="0" borderId="91" xfId="0" applyNumberFormat="1" applyFont="1" applyBorder="1" applyAlignment="1">
      <alignment horizontal="right"/>
    </xf>
    <xf numFmtId="37" fontId="13" fillId="0" borderId="92" xfId="0" applyNumberFormat="1" applyFont="1" applyBorder="1"/>
    <xf numFmtId="0" fontId="71" fillId="0" borderId="0" xfId="0" applyFont="1"/>
    <xf numFmtId="0" fontId="40" fillId="17" borderId="9" xfId="0" applyFont="1" applyFill="1" applyBorder="1" applyAlignment="1">
      <alignment horizontal="center" vertical="center" wrapText="1"/>
    </xf>
    <xf numFmtId="0" fontId="40" fillId="11" borderId="9" xfId="0" applyFont="1" applyFill="1" applyBorder="1" applyAlignment="1">
      <alignment horizontal="center" vertical="center"/>
    </xf>
    <xf numFmtId="0" fontId="40" fillId="18" borderId="9" xfId="0" applyFont="1" applyFill="1" applyBorder="1" applyAlignment="1">
      <alignment horizontal="center" vertical="center"/>
    </xf>
    <xf numFmtId="0" fontId="9" fillId="0" borderId="10" xfId="0" applyFont="1" applyBorder="1" applyAlignment="1">
      <alignment horizontal="right"/>
    </xf>
    <xf numFmtId="39" fontId="9" fillId="3" borderId="19" xfId="0" applyNumberFormat="1" applyFont="1" applyFill="1" applyBorder="1"/>
    <xf numFmtId="0" fontId="9" fillId="0" borderId="9" xfId="0" applyFont="1" applyBorder="1" applyAlignment="1" applyProtection="1">
      <alignment horizontal="left"/>
      <protection locked="0"/>
    </xf>
    <xf numFmtId="37" fontId="89" fillId="0" borderId="20" xfId="22" applyNumberFormat="1" applyFont="1" applyBorder="1" applyAlignment="1">
      <alignment horizontal="right"/>
    </xf>
    <xf numFmtId="0" fontId="11" fillId="0" borderId="29" xfId="0" applyFont="1" applyBorder="1"/>
    <xf numFmtId="0" fontId="11" fillId="0" borderId="49" xfId="0" applyFont="1" applyBorder="1"/>
    <xf numFmtId="49" fontId="9" fillId="0" borderId="56" xfId="0" applyNumberFormat="1" applyFont="1" applyBorder="1" applyAlignment="1">
      <alignment horizontal="center"/>
    </xf>
    <xf numFmtId="0" fontId="63" fillId="0" borderId="56" xfId="0" applyFont="1" applyBorder="1" applyAlignment="1">
      <alignment horizontal="center"/>
    </xf>
    <xf numFmtId="0" fontId="9" fillId="0" borderId="24" xfId="0" applyFont="1" applyBorder="1" applyAlignment="1">
      <alignment horizontal="center"/>
    </xf>
    <xf numFmtId="0" fontId="11" fillId="0" borderId="51" xfId="0" applyFont="1" applyBorder="1"/>
    <xf numFmtId="0" fontId="11" fillId="0" borderId="10" xfId="0" applyFont="1" applyBorder="1"/>
    <xf numFmtId="0" fontId="9" fillId="0" borderId="47" xfId="0" applyFont="1" applyBorder="1"/>
    <xf numFmtId="0" fontId="9" fillId="0" borderId="34" xfId="0" applyFont="1" applyBorder="1" applyAlignment="1">
      <alignment horizontal="center"/>
    </xf>
    <xf numFmtId="0" fontId="63" fillId="0" borderId="17" xfId="0" applyFont="1" applyBorder="1" applyAlignment="1">
      <alignment horizontal="center"/>
    </xf>
    <xf numFmtId="0" fontId="9" fillId="0" borderId="17" xfId="0" applyFont="1" applyBorder="1" applyAlignment="1">
      <alignment horizontal="center"/>
    </xf>
    <xf numFmtId="37" fontId="9" fillId="0" borderId="11" xfId="0" applyNumberFormat="1" applyFont="1" applyBorder="1" applyProtection="1">
      <protection locked="0"/>
    </xf>
    <xf numFmtId="37" fontId="9" fillId="0" borderId="2" xfId="0" applyNumberFormat="1" applyFont="1" applyBorder="1" applyAlignment="1" applyProtection="1">
      <alignment horizontal="right"/>
      <protection locked="0"/>
    </xf>
    <xf numFmtId="37" fontId="9" fillId="0" borderId="93" xfId="0" applyNumberFormat="1" applyFont="1" applyBorder="1" applyAlignment="1" applyProtection="1">
      <alignment horizontal="right"/>
      <protection locked="0"/>
    </xf>
    <xf numFmtId="37" fontId="9" fillId="0" borderId="9" xfId="0" applyNumberFormat="1" applyFont="1" applyBorder="1" applyAlignment="1" applyProtection="1">
      <alignment horizontal="right"/>
      <protection locked="0"/>
    </xf>
    <xf numFmtId="37" fontId="63" fillId="0" borderId="3" xfId="0" applyNumberFormat="1" applyFont="1" applyBorder="1" applyAlignment="1">
      <alignment horizontal="right"/>
    </xf>
    <xf numFmtId="37" fontId="63" fillId="0" borderId="48" xfId="0" applyNumberFormat="1" applyFont="1" applyBorder="1" applyAlignment="1">
      <alignment horizontal="right"/>
    </xf>
    <xf numFmtId="165" fontId="63" fillId="0" borderId="77" xfId="0" applyNumberFormat="1" applyFont="1" applyBorder="1" applyAlignment="1">
      <alignment horizontal="right"/>
    </xf>
    <xf numFmtId="37" fontId="9" fillId="0" borderId="48" xfId="0" applyNumberFormat="1" applyFont="1" applyBorder="1" applyAlignment="1" applyProtection="1">
      <alignment horizontal="right"/>
      <protection locked="0"/>
    </xf>
    <xf numFmtId="49" fontId="63" fillId="0" borderId="29" xfId="0" applyNumberFormat="1" applyFont="1" applyBorder="1" applyAlignment="1">
      <alignment horizontal="left"/>
    </xf>
    <xf numFmtId="37" fontId="9" fillId="0" borderId="94" xfId="0" applyNumberFormat="1" applyFont="1" applyBorder="1" applyAlignment="1" applyProtection="1">
      <alignment horizontal="right"/>
      <protection locked="0"/>
    </xf>
    <xf numFmtId="37" fontId="74" fillId="8" borderId="3" xfId="0" applyNumberFormat="1" applyFont="1" applyFill="1" applyBorder="1" applyAlignment="1">
      <alignment horizontal="right"/>
    </xf>
    <xf numFmtId="0" fontId="63" fillId="0" borderId="26" xfId="0" applyFont="1" applyBorder="1"/>
    <xf numFmtId="37" fontId="74" fillId="7" borderId="58" xfId="0" applyNumberFormat="1" applyFont="1" applyFill="1" applyBorder="1" applyAlignment="1">
      <alignment horizontal="right"/>
    </xf>
    <xf numFmtId="37" fontId="63" fillId="0" borderId="15" xfId="0" applyNumberFormat="1" applyFont="1" applyBorder="1" applyAlignment="1">
      <alignment horizontal="right"/>
    </xf>
    <xf numFmtId="165" fontId="63" fillId="6" borderId="77" xfId="0" applyNumberFormat="1" applyFont="1" applyFill="1" applyBorder="1" applyAlignment="1">
      <alignment horizontal="right"/>
    </xf>
    <xf numFmtId="37" fontId="74" fillId="7" borderId="48" xfId="0" applyNumberFormat="1" applyFont="1" applyFill="1" applyBorder="1" applyAlignment="1">
      <alignment horizontal="right"/>
    </xf>
    <xf numFmtId="37" fontId="74" fillId="7" borderId="95" xfId="0" applyNumberFormat="1" applyFont="1" applyFill="1" applyBorder="1" applyAlignment="1">
      <alignment horizontal="right"/>
    </xf>
    <xf numFmtId="37" fontId="74" fillId="7" borderId="24" xfId="0" applyNumberFormat="1" applyFont="1" applyFill="1" applyBorder="1" applyAlignment="1">
      <alignment horizontal="right"/>
    </xf>
    <xf numFmtId="37" fontId="63" fillId="0" borderId="33" xfId="0" applyNumberFormat="1" applyFont="1" applyBorder="1" applyAlignment="1" applyProtection="1">
      <alignment horizontal="right"/>
      <protection locked="0"/>
    </xf>
    <xf numFmtId="165" fontId="63" fillId="6" borderId="79" xfId="0" applyNumberFormat="1" applyFont="1" applyFill="1" applyBorder="1" applyAlignment="1">
      <alignment horizontal="right"/>
    </xf>
    <xf numFmtId="0" fontId="63" fillId="0" borderId="29" xfId="0" applyFont="1" applyBorder="1"/>
    <xf numFmtId="37" fontId="63" fillId="0" borderId="9" xfId="0" applyNumberFormat="1" applyFont="1" applyBorder="1" applyAlignment="1">
      <alignment horizontal="right"/>
    </xf>
    <xf numFmtId="165" fontId="63" fillId="0" borderId="9" xfId="0" applyNumberFormat="1" applyFont="1" applyBorder="1" applyAlignment="1">
      <alignment horizontal="right"/>
    </xf>
    <xf numFmtId="0" fontId="9" fillId="8" borderId="9" xfId="0" applyFont="1" applyFill="1" applyBorder="1"/>
    <xf numFmtId="49" fontId="113" fillId="5" borderId="52" xfId="8" applyNumberFormat="1" applyFont="1" applyFill="1" applyBorder="1" applyAlignment="1" applyProtection="1">
      <alignment horizontal="right"/>
    </xf>
    <xf numFmtId="0" fontId="9" fillId="6" borderId="51" xfId="0" applyFont="1" applyFill="1" applyBorder="1"/>
    <xf numFmtId="37" fontId="63" fillId="0" borderId="11" xfId="0" applyNumberFormat="1" applyFont="1" applyBorder="1" applyAlignment="1">
      <alignment horizontal="right"/>
    </xf>
    <xf numFmtId="0" fontId="11" fillId="0" borderId="0" xfId="0" applyFont="1" applyAlignment="1">
      <alignment horizontal="right" vertical="top"/>
    </xf>
    <xf numFmtId="37" fontId="9" fillId="0" borderId="19" xfId="0" applyNumberFormat="1" applyFont="1" applyBorder="1" applyAlignment="1">
      <alignment horizontal="right"/>
    </xf>
    <xf numFmtId="49" fontId="37" fillId="5" borderId="0" xfId="8" applyNumberFormat="1" applyFont="1" applyFill="1" applyBorder="1" applyAlignment="1" applyProtection="1">
      <alignment horizontal="right"/>
    </xf>
    <xf numFmtId="49" fontId="9" fillId="0" borderId="0" xfId="0" applyNumberFormat="1" applyFont="1" applyBorder="1" applyAlignment="1">
      <alignment horizontal="right" wrapText="1"/>
    </xf>
    <xf numFmtId="37" fontId="9" fillId="0" borderId="52" xfId="0" applyNumberFormat="1" applyFont="1" applyBorder="1" applyAlignment="1">
      <alignment horizontal="right"/>
    </xf>
    <xf numFmtId="0" fontId="9" fillId="9" borderId="29" xfId="0" applyFont="1" applyFill="1" applyBorder="1"/>
    <xf numFmtId="0" fontId="114" fillId="0" borderId="0" xfId="0" applyFont="1"/>
    <xf numFmtId="0" fontId="26" fillId="0" borderId="29" xfId="0" applyFont="1" applyBorder="1"/>
    <xf numFmtId="183" fontId="37" fillId="0" borderId="49" xfId="4" applyNumberFormat="1" applyFont="1" applyBorder="1" applyAlignment="1" applyProtection="1">
      <alignment horizontal="right"/>
    </xf>
    <xf numFmtId="49" fontId="9" fillId="0" borderId="10" xfId="0" applyNumberFormat="1" applyFont="1" applyBorder="1" applyAlignment="1">
      <alignment horizontal="right" wrapText="1"/>
    </xf>
    <xf numFmtId="0" fontId="106" fillId="0" borderId="24" xfId="0" applyFont="1" applyBorder="1" applyAlignment="1">
      <alignment horizontal="center" vertical="top" wrapText="1"/>
    </xf>
    <xf numFmtId="37" fontId="5" fillId="0" borderId="0" xfId="0" applyNumberFormat="1" applyFont="1" applyAlignment="1" applyProtection="1">
      <alignment horizontal="right"/>
      <protection locked="0"/>
    </xf>
    <xf numFmtId="37" fontId="63" fillId="0" borderId="19" xfId="4" applyNumberFormat="1" applyFont="1" applyFill="1" applyBorder="1" applyAlignment="1" applyProtection="1">
      <alignment horizontal="right" wrapText="1"/>
      <protection locked="0"/>
    </xf>
    <xf numFmtId="37" fontId="9" fillId="0" borderId="52" xfId="4" applyNumberFormat="1" applyFont="1" applyBorder="1" applyAlignment="1" applyProtection="1">
      <alignment horizontal="right"/>
      <protection locked="0"/>
    </xf>
    <xf numFmtId="37" fontId="9" fillId="0" borderId="96" xfId="4" applyNumberFormat="1" applyFont="1" applyBorder="1" applyAlignment="1" applyProtection="1">
      <alignment horizontal="right"/>
    </xf>
    <xf numFmtId="4" fontId="9" fillId="0" borderId="56" xfId="0" applyNumberFormat="1" applyFont="1" applyBorder="1"/>
    <xf numFmtId="165" fontId="9" fillId="0" borderId="56" xfId="0" applyNumberFormat="1" applyFont="1" applyBorder="1"/>
    <xf numFmtId="0" fontId="9" fillId="9" borderId="0" xfId="0" applyFont="1" applyFill="1" applyBorder="1"/>
    <xf numFmtId="49" fontId="113" fillId="5" borderId="49" xfId="8" quotePrefix="1" applyNumberFormat="1" applyFont="1" applyFill="1" applyBorder="1" applyAlignment="1" applyProtection="1">
      <alignment horizontal="right"/>
    </xf>
    <xf numFmtId="37" fontId="9" fillId="0" borderId="94" xfId="0" applyNumberFormat="1" applyFont="1" applyBorder="1" applyAlignment="1">
      <alignment horizontal="right"/>
    </xf>
    <xf numFmtId="49" fontId="9" fillId="0" borderId="20" xfId="0" applyNumberFormat="1" applyFont="1" applyBorder="1" applyAlignment="1">
      <alignment horizontal="right" wrapText="1"/>
    </xf>
    <xf numFmtId="37" fontId="14" fillId="2" borderId="10" xfId="14" applyNumberFormat="1" applyFont="1" applyBorder="1"/>
    <xf numFmtId="37" fontId="15" fillId="0" borderId="9" xfId="14" applyNumberFormat="1" applyFont="1" applyFill="1" applyBorder="1"/>
    <xf numFmtId="37" fontId="14" fillId="2" borderId="51" xfId="14" applyNumberFormat="1" applyFont="1" applyBorder="1"/>
    <xf numFmtId="37" fontId="14" fillId="2" borderId="52" xfId="14" applyNumberFormat="1" applyFont="1" applyBorder="1"/>
    <xf numFmtId="37" fontId="9" fillId="0" borderId="7" xfId="4" applyNumberFormat="1" applyFont="1" applyBorder="1" applyAlignment="1" applyProtection="1">
      <alignment horizontal="right" vertical="top"/>
      <protection locked="0"/>
    </xf>
    <xf numFmtId="49" fontId="39" fillId="5" borderId="2" xfId="8" applyNumberFormat="1" applyFont="1" applyFill="1" applyBorder="1" applyAlignment="1" applyProtection="1">
      <alignment horizontal="right"/>
    </xf>
    <xf numFmtId="49" fontId="39" fillId="5" borderId="49" xfId="8" applyNumberFormat="1" applyFont="1" applyFill="1" applyBorder="1" applyAlignment="1" applyProtection="1">
      <alignment horizontal="right"/>
    </xf>
    <xf numFmtId="42" fontId="9" fillId="0" borderId="4" xfId="0" applyNumberFormat="1" applyFont="1" applyBorder="1" applyAlignment="1" applyProtection="1">
      <alignment horizontal="right"/>
      <protection locked="0"/>
    </xf>
    <xf numFmtId="37" fontId="5" fillId="0" borderId="10" xfId="0" applyNumberFormat="1" applyFont="1" applyBorder="1" applyAlignment="1" applyProtection="1">
      <alignment wrapText="1"/>
      <protection locked="0"/>
    </xf>
    <xf numFmtId="0" fontId="6" fillId="0" borderId="0" xfId="0" applyFont="1" applyBorder="1" applyAlignment="1">
      <alignment horizontal="left" vertical="center"/>
    </xf>
    <xf numFmtId="0" fontId="37" fillId="5" borderId="49" xfId="8" quotePrefix="1" applyFont="1" applyFill="1" applyBorder="1" applyProtection="1"/>
    <xf numFmtId="0" fontId="37" fillId="0" borderId="0" xfId="8" quotePrefix="1" applyFont="1" applyFill="1" applyBorder="1" applyProtection="1"/>
    <xf numFmtId="177" fontId="38" fillId="5" borderId="0" xfId="8" applyNumberFormat="1" applyFont="1" applyFill="1" applyProtection="1"/>
    <xf numFmtId="37" fontId="9" fillId="0" borderId="39" xfId="0" applyNumberFormat="1" applyFont="1" applyBorder="1" applyAlignment="1" applyProtection="1">
      <alignment horizontal="right"/>
      <protection locked="0"/>
    </xf>
    <xf numFmtId="37" fontId="7" fillId="0" borderId="97" xfId="11" applyNumberFormat="1" applyFont="1" applyBorder="1" applyAlignment="1">
      <alignment horizontal="right"/>
    </xf>
    <xf numFmtId="49" fontId="39" fillId="5" borderId="88" xfId="8" applyNumberFormat="1" applyFont="1" applyFill="1" applyBorder="1" applyAlignment="1" applyProtection="1">
      <alignment horizontal="right"/>
    </xf>
    <xf numFmtId="37" fontId="9" fillId="0" borderId="56" xfId="0" applyNumberFormat="1" applyFont="1" applyBorder="1"/>
    <xf numFmtId="37" fontId="9" fillId="16" borderId="3" xfId="0" applyNumberFormat="1" applyFont="1" applyFill="1" applyBorder="1"/>
    <xf numFmtId="49" fontId="37" fillId="5" borderId="19" xfId="8" applyNumberFormat="1" applyFont="1" applyFill="1" applyBorder="1" applyAlignment="1" applyProtection="1">
      <alignment horizontal="right"/>
    </xf>
    <xf numFmtId="0" fontId="60" fillId="0" borderId="0" xfId="0" applyFont="1" applyAlignment="1">
      <alignment vertical="top" wrapText="1"/>
    </xf>
    <xf numFmtId="0" fontId="40" fillId="0" borderId="0" xfId="0" applyFont="1" applyBorder="1" applyAlignment="1">
      <alignment horizontal="justify" vertical="top"/>
    </xf>
    <xf numFmtId="0" fontId="4" fillId="0" borderId="0" xfId="0" applyFont="1" applyAlignment="1">
      <alignment vertical="top"/>
    </xf>
    <xf numFmtId="0" fontId="40" fillId="0" borderId="17" xfId="0" applyFont="1" applyBorder="1" applyAlignment="1">
      <alignment horizontal="left" vertical="top" wrapText="1"/>
    </xf>
    <xf numFmtId="0" fontId="9" fillId="0" borderId="0" xfId="0" quotePrefix="1" applyFont="1" applyBorder="1"/>
    <xf numFmtId="0" fontId="9" fillId="0" borderId="0" xfId="0" applyFont="1" applyBorder="1" applyAlignment="1">
      <alignment horizontal="right"/>
    </xf>
    <xf numFmtId="39" fontId="9" fillId="0" borderId="0" xfId="0" applyNumberFormat="1" applyFont="1" applyBorder="1"/>
    <xf numFmtId="37" fontId="15" fillId="0" borderId="34" xfId="15" applyNumberFormat="1" applyFont="1" applyFill="1" applyBorder="1" applyAlignment="1">
      <alignment horizontal="right"/>
    </xf>
    <xf numFmtId="37" fontId="7" fillId="0" borderId="0" xfId="0" applyNumberFormat="1" applyFont="1" applyAlignment="1">
      <alignment horizontal="right"/>
    </xf>
    <xf numFmtId="37" fontId="7" fillId="2" borderId="0" xfId="15" applyNumberFormat="1" applyFont="1" applyAlignment="1">
      <alignment horizontal="right"/>
    </xf>
    <xf numFmtId="37" fontId="7" fillId="2" borderId="0" xfId="15" applyNumberFormat="1" applyFont="1" applyAlignment="1">
      <alignment horizontal="center"/>
    </xf>
    <xf numFmtId="37" fontId="7" fillId="2" borderId="2" xfId="15" applyNumberFormat="1" applyFont="1" applyBorder="1" applyAlignment="1">
      <alignment horizontal="right"/>
    </xf>
    <xf numFmtId="37" fontId="7" fillId="2" borderId="34" xfId="15" applyNumberFormat="1" applyFont="1" applyBorder="1" applyAlignment="1">
      <alignment horizontal="right"/>
    </xf>
    <xf numFmtId="37" fontId="7" fillId="2" borderId="22" xfId="15" applyNumberFormat="1" applyFont="1" applyBorder="1" applyAlignment="1">
      <alignment horizontal="center"/>
    </xf>
    <xf numFmtId="37" fontId="15" fillId="2" borderId="23" xfId="15" applyNumberFormat="1" applyFont="1" applyBorder="1" applyAlignment="1" applyProtection="1">
      <alignment horizontal="right"/>
      <protection locked="0"/>
    </xf>
    <xf numFmtId="37" fontId="15" fillId="2" borderId="88" xfId="15" applyNumberFormat="1" applyFont="1" applyBorder="1" applyAlignment="1" applyProtection="1">
      <alignment horizontal="right"/>
      <protection locked="0"/>
    </xf>
    <xf numFmtId="0" fontId="31" fillId="6" borderId="0" xfId="13" applyFont="1" applyFill="1" applyAlignment="1">
      <alignment horizontal="left" vertical="center"/>
    </xf>
    <xf numFmtId="0" fontId="115" fillId="5" borderId="0" xfId="8" applyFont="1" applyFill="1" applyProtection="1"/>
    <xf numFmtId="0" fontId="97" fillId="0" borderId="0" xfId="0" applyFont="1"/>
    <xf numFmtId="49" fontId="115" fillId="5" borderId="0" xfId="8" applyNumberFormat="1" applyFont="1" applyFill="1" applyAlignment="1" applyProtection="1">
      <alignment horizontal="center" vertical="center"/>
    </xf>
    <xf numFmtId="49" fontId="115" fillId="5" borderId="20" xfId="8" applyNumberFormat="1" applyFont="1" applyFill="1" applyBorder="1" applyAlignment="1" applyProtection="1">
      <alignment horizontal="center" vertical="center"/>
    </xf>
    <xf numFmtId="49" fontId="38" fillId="5" borderId="0" xfId="8" applyNumberFormat="1" applyFont="1" applyFill="1" applyAlignment="1" applyProtection="1">
      <alignment horizontal="center" vertical="center"/>
    </xf>
    <xf numFmtId="0" fontId="45" fillId="5" borderId="0" xfId="8" applyFont="1" applyFill="1" applyProtection="1"/>
    <xf numFmtId="0" fontId="116" fillId="5" borderId="0" xfId="8" applyFont="1" applyFill="1" applyAlignment="1" applyProtection="1">
      <alignment horizontal="left" vertical="center"/>
    </xf>
    <xf numFmtId="49" fontId="63" fillId="0" borderId="0" xfId="13" quotePrefix="1" applyNumberFormat="1" applyFont="1" applyFill="1" applyAlignment="1">
      <alignment horizontal="right"/>
    </xf>
    <xf numFmtId="37" fontId="63" fillId="2" borderId="0" xfId="13" applyNumberFormat="1" applyFont="1" applyAlignment="1">
      <alignment horizontal="left"/>
    </xf>
    <xf numFmtId="37" fontId="63" fillId="2" borderId="0" xfId="13" applyNumberFormat="1" applyFont="1"/>
    <xf numFmtId="1" fontId="63" fillId="0" borderId="0" xfId="13" quotePrefix="1" applyNumberFormat="1" applyFont="1" applyFill="1" applyAlignment="1">
      <alignment horizontal="right"/>
    </xf>
    <xf numFmtId="0" fontId="117" fillId="0" borderId="0" xfId="13" applyFont="1" applyFill="1"/>
    <xf numFmtId="0" fontId="11" fillId="0" borderId="0" xfId="0" applyFont="1" applyAlignment="1">
      <alignment horizontal="center" vertical="top"/>
    </xf>
    <xf numFmtId="0" fontId="11" fillId="0" borderId="0" xfId="0" applyFont="1" applyAlignment="1">
      <alignment horizontal="left" vertical="top"/>
    </xf>
    <xf numFmtId="0" fontId="122" fillId="0" borderId="0" xfId="0" applyFont="1" applyAlignment="1">
      <alignment wrapText="1"/>
    </xf>
    <xf numFmtId="0" fontId="121" fillId="0" borderId="0" xfId="0" applyFont="1"/>
    <xf numFmtId="0" fontId="120" fillId="0" borderId="0" xfId="0" applyFont="1"/>
    <xf numFmtId="0" fontId="40" fillId="0" borderId="0" xfId="0" applyFont="1" applyBorder="1" applyAlignment="1">
      <alignment horizontal="justify" vertical="top" wrapText="1"/>
    </xf>
    <xf numFmtId="0" fontId="100" fillId="0" borderId="108" xfId="0" applyFont="1" applyBorder="1" applyAlignment="1">
      <alignment vertical="top" wrapText="1"/>
    </xf>
    <xf numFmtId="0" fontId="123" fillId="0" borderId="9" xfId="8" applyFont="1" applyBorder="1" applyAlignment="1">
      <alignment horizontal="center" vertical="top"/>
      <protection locked="0"/>
    </xf>
    <xf numFmtId="0" fontId="40" fillId="0" borderId="9" xfId="8" applyFont="1" applyBorder="1" applyAlignment="1">
      <alignment horizontal="center" vertical="top"/>
      <protection locked="0"/>
    </xf>
    <xf numFmtId="0" fontId="123" fillId="0" borderId="9" xfId="8" applyFont="1" applyFill="1" applyBorder="1" applyAlignment="1">
      <alignment horizontal="center" vertical="top"/>
      <protection locked="0"/>
    </xf>
    <xf numFmtId="0" fontId="123" fillId="0" borderId="9" xfId="8" applyFont="1" applyBorder="1" applyAlignment="1">
      <alignment horizontal="center" vertical="top" wrapText="1"/>
      <protection locked="0"/>
    </xf>
    <xf numFmtId="0" fontId="72" fillId="19" borderId="0" xfId="8" quotePrefix="1" applyFont="1" applyFill="1" applyProtection="1"/>
    <xf numFmtId="0" fontId="72" fillId="20" borderId="0" xfId="8" quotePrefix="1" applyFont="1" applyFill="1" applyProtection="1"/>
    <xf numFmtId="0" fontId="2" fillId="0" borderId="0" xfId="0" quotePrefix="1" applyFont="1"/>
    <xf numFmtId="7" fontId="9" fillId="20" borderId="9" xfId="0" applyNumberFormat="1" applyFont="1" applyFill="1" applyBorder="1" applyProtection="1">
      <protection locked="0"/>
    </xf>
    <xf numFmtId="0" fontId="72" fillId="20" borderId="0" xfId="8" quotePrefix="1" applyFont="1" applyFill="1" applyAlignment="1" applyProtection="1">
      <alignment horizontal="right"/>
    </xf>
    <xf numFmtId="0" fontId="72" fillId="20" borderId="0" xfId="8" quotePrefix="1" applyFont="1" applyFill="1" applyAlignment="1" applyProtection="1">
      <alignment vertical="top"/>
    </xf>
    <xf numFmtId="0" fontId="9" fillId="0" borderId="26" xfId="0" quotePrefix="1" applyFont="1" applyBorder="1"/>
    <xf numFmtId="0" fontId="9" fillId="0" borderId="26" xfId="0" quotePrefix="1" applyFont="1" applyBorder="1" applyAlignment="1">
      <alignment horizontal="left"/>
    </xf>
    <xf numFmtId="0" fontId="9" fillId="6" borderId="26" xfId="0" quotePrefix="1" applyFont="1" applyFill="1" applyBorder="1"/>
    <xf numFmtId="0" fontId="9" fillId="0" borderId="31" xfId="0" quotePrefix="1" applyFont="1" applyBorder="1"/>
    <xf numFmtId="0" fontId="9" fillId="0" borderId="16" xfId="0" quotePrefix="1" applyFont="1" applyBorder="1"/>
    <xf numFmtId="0" fontId="9" fillId="0" borderId="89" xfId="0" quotePrefix="1" applyFont="1" applyBorder="1"/>
    <xf numFmtId="6" fontId="9" fillId="9" borderId="0" xfId="0" applyNumberFormat="1" applyFont="1" applyFill="1" applyBorder="1" applyAlignment="1">
      <alignment horizontal="left"/>
    </xf>
    <xf numFmtId="37" fontId="9" fillId="0" borderId="38" xfId="0" applyNumberFormat="1" applyFont="1" applyBorder="1"/>
    <xf numFmtId="37" fontId="124" fillId="0" borderId="3" xfId="0" applyNumberFormat="1" applyFont="1" applyBorder="1"/>
    <xf numFmtId="0" fontId="123" fillId="0" borderId="17" xfId="8" applyFont="1" applyFill="1" applyBorder="1" applyAlignment="1">
      <alignment horizontal="center" vertical="top"/>
      <protection locked="0"/>
    </xf>
    <xf numFmtId="1" fontId="63" fillId="2" borderId="0" xfId="13" quotePrefix="1" applyNumberFormat="1" applyFont="1" applyAlignment="1">
      <alignment horizontal="right"/>
    </xf>
    <xf numFmtId="177" fontId="40" fillId="0" borderId="17" xfId="9" applyNumberFormat="1" applyFont="1" applyFill="1" applyBorder="1" applyAlignment="1" applyProtection="1">
      <alignment vertical="top" wrapText="1"/>
    </xf>
    <xf numFmtId="0" fontId="40" fillId="0" borderId="9" xfId="8" applyFont="1" applyFill="1" applyBorder="1" applyAlignment="1" applyProtection="1">
      <alignment horizontal="justify" vertical="top" wrapText="1"/>
    </xf>
    <xf numFmtId="0" fontId="6" fillId="0" borderId="0" xfId="0" applyFont="1" applyAlignment="1">
      <alignment horizontal="left"/>
    </xf>
    <xf numFmtId="0" fontId="110" fillId="0" borderId="0" xfId="0" applyFont="1"/>
    <xf numFmtId="0" fontId="6" fillId="0" borderId="0" xfId="0" applyFont="1" applyAlignment="1">
      <alignment horizontal="left" vertical="center"/>
    </xf>
    <xf numFmtId="0" fontId="46" fillId="0" borderId="0" xfId="8" applyFont="1" applyFill="1" applyProtection="1"/>
    <xf numFmtId="0" fontId="9" fillId="0" borderId="89" xfId="0" applyFont="1" applyBorder="1"/>
    <xf numFmtId="0" fontId="7" fillId="0" borderId="2" xfId="14" applyFont="1" applyFill="1" applyBorder="1"/>
    <xf numFmtId="37" fontId="16" fillId="0" borderId="0" xfId="14" applyNumberFormat="1" applyFont="1" applyFill="1"/>
    <xf numFmtId="0" fontId="9" fillId="9" borderId="0" xfId="0" applyFont="1" applyFill="1" applyBorder="1" applyAlignment="1">
      <alignment horizontal="right"/>
    </xf>
    <xf numFmtId="39" fontId="9" fillId="9" borderId="21" xfId="0" applyNumberFormat="1" applyFont="1" applyFill="1" applyBorder="1"/>
    <xf numFmtId="0" fontId="9" fillId="9" borderId="0" xfId="0" applyFont="1" applyFill="1" applyAlignment="1">
      <alignment horizontal="left" vertical="center" wrapText="1"/>
    </xf>
    <xf numFmtId="174" fontId="9" fillId="9" borderId="21" xfId="0" applyNumberFormat="1" applyFont="1" applyFill="1" applyBorder="1"/>
    <xf numFmtId="0" fontId="9" fillId="9" borderId="0" xfId="0" applyFont="1" applyFill="1" applyAlignment="1">
      <alignment horizontal="left" vertical="center"/>
    </xf>
    <xf numFmtId="2" fontId="9" fillId="9" borderId="0" xfId="0" applyNumberFormat="1" applyFont="1" applyFill="1" applyBorder="1" applyAlignment="1">
      <alignment horizontal="right"/>
    </xf>
    <xf numFmtId="37" fontId="124" fillId="0" borderId="23" xfId="0" applyNumberFormat="1" applyFont="1" applyBorder="1" applyProtection="1">
      <protection locked="0"/>
    </xf>
    <xf numFmtId="37" fontId="4" fillId="0" borderId="24" xfId="0" applyNumberFormat="1" applyFont="1" applyBorder="1"/>
    <xf numFmtId="37" fontId="9" fillId="0" borderId="32" xfId="0" applyNumberFormat="1" applyFont="1" applyBorder="1"/>
    <xf numFmtId="37" fontId="9" fillId="0" borderId="84" xfId="0" applyNumberFormat="1" applyFont="1" applyBorder="1" applyProtection="1">
      <protection locked="0"/>
    </xf>
    <xf numFmtId="37" fontId="9" fillId="0" borderId="34" xfId="0" applyNumberFormat="1" applyFont="1" applyBorder="1" applyProtection="1">
      <protection locked="0"/>
    </xf>
    <xf numFmtId="37" fontId="9" fillId="0" borderId="9" xfId="0" applyNumberFormat="1" applyFont="1" applyBorder="1"/>
    <xf numFmtId="37" fontId="7" fillId="0" borderId="3" xfId="11" applyNumberFormat="1" applyFont="1" applyBorder="1" applyAlignment="1">
      <alignment horizontal="right"/>
    </xf>
    <xf numFmtId="37" fontId="9" fillId="0" borderId="15" xfId="0" quotePrefix="1" applyNumberFormat="1" applyFont="1" applyBorder="1" applyAlignment="1">
      <alignment horizontal="right"/>
    </xf>
    <xf numFmtId="37" fontId="7" fillId="0" borderId="15" xfId="0" applyNumberFormat="1" applyFont="1" applyBorder="1" applyAlignment="1">
      <alignment horizontal="right"/>
    </xf>
    <xf numFmtId="0" fontId="0" fillId="0" borderId="0" xfId="0" applyProtection="1">
      <protection locked="0"/>
    </xf>
    <xf numFmtId="0" fontId="8" fillId="0" borderId="0" xfId="0" applyFont="1" applyAlignment="1">
      <alignment horizontal="center"/>
    </xf>
    <xf numFmtId="0" fontId="77" fillId="0" borderId="0" xfId="0" applyFont="1" applyAlignment="1">
      <alignment horizontal="center" vertical="top"/>
    </xf>
    <xf numFmtId="0" fontId="16" fillId="0" borderId="0" xfId="0" applyFont="1" applyBorder="1" applyAlignment="1">
      <alignment horizontal="center" wrapText="1"/>
    </xf>
    <xf numFmtId="0" fontId="16" fillId="0" borderId="63" xfId="0" applyFont="1" applyBorder="1" applyAlignment="1">
      <alignment horizontal="center" wrapText="1"/>
    </xf>
    <xf numFmtId="49" fontId="9" fillId="0" borderId="0" xfId="0" applyNumberFormat="1" applyFont="1" applyBorder="1" applyAlignment="1">
      <alignment horizontal="left"/>
    </xf>
    <xf numFmtId="0" fontId="9" fillId="0" borderId="0" xfId="0" applyFont="1" applyBorder="1" applyAlignment="1">
      <alignment horizontal="left"/>
    </xf>
    <xf numFmtId="0" fontId="7" fillId="0" borderId="0" xfId="0" applyFont="1" applyBorder="1" applyAlignment="1">
      <alignment horizontal="left" vertical="top" wrapText="1"/>
    </xf>
    <xf numFmtId="0" fontId="7" fillId="0" borderId="0" xfId="0" applyFont="1" applyBorder="1" applyAlignment="1">
      <alignment horizontal="left" vertical="center" wrapText="1"/>
    </xf>
    <xf numFmtId="0" fontId="51" fillId="0" borderId="0" xfId="0" applyFont="1" applyAlignment="1">
      <alignment horizontal="left" vertical="center" wrapText="1"/>
    </xf>
    <xf numFmtId="0" fontId="7" fillId="0" borderId="0" xfId="0" applyFont="1" applyAlignment="1">
      <alignment horizontal="left"/>
    </xf>
    <xf numFmtId="0" fontId="9" fillId="0" borderId="0" xfId="0" applyFont="1" applyBorder="1" applyAlignment="1">
      <alignment horizontal="left" wrapText="1"/>
    </xf>
    <xf numFmtId="0" fontId="9" fillId="0" borderId="0" xfId="0" applyFont="1" applyBorder="1" applyAlignment="1">
      <alignment horizontal="center"/>
    </xf>
    <xf numFmtId="49" fontId="9" fillId="0" borderId="10" xfId="0" applyNumberFormat="1" applyFont="1" applyBorder="1" applyAlignment="1">
      <alignment horizontal="left"/>
    </xf>
    <xf numFmtId="0" fontId="9" fillId="0" borderId="10" xfId="0" applyFont="1" applyBorder="1" applyAlignment="1">
      <alignment horizontal="left"/>
    </xf>
    <xf numFmtId="0" fontId="9" fillId="0" borderId="10" xfId="0" applyFont="1" applyBorder="1" applyAlignment="1">
      <alignment horizontal="center"/>
    </xf>
    <xf numFmtId="0" fontId="9" fillId="0" borderId="7" xfId="0" applyFont="1" applyBorder="1" applyAlignment="1">
      <alignment horizontal="center"/>
    </xf>
    <xf numFmtId="0" fontId="9" fillId="0" borderId="10" xfId="0" applyFont="1" applyBorder="1" applyProtection="1">
      <protection locked="0"/>
    </xf>
    <xf numFmtId="0" fontId="32" fillId="0" borderId="20" xfId="8" applyFont="1" applyBorder="1" applyAlignment="1" applyProtection="1">
      <alignment horizontal="center" wrapText="1"/>
    </xf>
    <xf numFmtId="38" fontId="9" fillId="0" borderId="45" xfId="0" applyNumberFormat="1" applyFont="1" applyBorder="1" applyAlignment="1" applyProtection="1">
      <alignment horizontal="center"/>
      <protection locked="0"/>
    </xf>
    <xf numFmtId="176" fontId="9" fillId="0" borderId="37" xfId="0" applyNumberFormat="1" applyFont="1" applyBorder="1" applyAlignment="1" applyProtection="1">
      <alignment horizontal="center"/>
      <protection locked="0"/>
    </xf>
    <xf numFmtId="0" fontId="88" fillId="0" borderId="0" xfId="0" applyFont="1" applyAlignment="1">
      <alignment horizontal="center" vertical="center" wrapText="1"/>
    </xf>
    <xf numFmtId="0" fontId="9" fillId="0" borderId="45" xfId="0" applyFont="1" applyBorder="1" applyAlignment="1" applyProtection="1">
      <alignment horizontal="center"/>
      <protection locked="0"/>
    </xf>
    <xf numFmtId="0" fontId="9" fillId="0" borderId="0" xfId="0" applyFont="1" applyAlignment="1">
      <alignment horizontal="center"/>
    </xf>
    <xf numFmtId="0" fontId="9" fillId="0" borderId="2" xfId="0" applyFont="1" applyBorder="1" applyAlignment="1">
      <alignment horizontal="center"/>
    </xf>
    <xf numFmtId="15" fontId="9" fillId="0" borderId="4" xfId="0" applyNumberFormat="1" applyFont="1" applyBorder="1" applyAlignment="1" applyProtection="1">
      <alignment horizontal="center"/>
      <protection locked="0"/>
    </xf>
    <xf numFmtId="0" fontId="9" fillId="0" borderId="4" xfId="0" applyFont="1" applyBorder="1" applyAlignment="1" applyProtection="1">
      <alignment horizontal="center"/>
      <protection locked="0"/>
    </xf>
    <xf numFmtId="0" fontId="9" fillId="0" borderId="0" xfId="0" applyFont="1" applyAlignment="1">
      <alignment horizontal="center" vertical="center"/>
    </xf>
    <xf numFmtId="0" fontId="0" fillId="0" borderId="0" xfId="0" applyAlignment="1">
      <alignment vertical="center"/>
    </xf>
    <xf numFmtId="0" fontId="0" fillId="0" borderId="2" xfId="0" applyBorder="1" applyAlignment="1">
      <alignment vertical="center"/>
    </xf>
    <xf numFmtId="0" fontId="9" fillId="0" borderId="4" xfId="0" applyFont="1" applyBorder="1" applyProtection="1">
      <protection locked="0"/>
    </xf>
    <xf numFmtId="0" fontId="9" fillId="0" borderId="37" xfId="0" applyFont="1" applyBorder="1" applyProtection="1">
      <protection locked="0"/>
    </xf>
    <xf numFmtId="180" fontId="9" fillId="0" borderId="4" xfId="0" applyNumberFormat="1" applyFont="1" applyBorder="1" applyAlignment="1" applyProtection="1">
      <alignment horizontal="center"/>
      <protection locked="0"/>
    </xf>
    <xf numFmtId="0" fontId="32" fillId="0" borderId="4" xfId="8" applyFont="1" applyBorder="1" applyAlignment="1">
      <alignment horizontal="center"/>
      <protection locked="0"/>
    </xf>
    <xf numFmtId="0" fontId="9" fillId="0" borderId="1" xfId="0" applyFont="1" applyBorder="1" applyAlignment="1">
      <alignment horizontal="center"/>
    </xf>
    <xf numFmtId="0" fontId="9" fillId="0" borderId="46" xfId="0" applyFont="1" applyBorder="1" applyAlignment="1" applyProtection="1">
      <alignment horizontal="left" vertical="top" wrapText="1"/>
      <protection locked="0"/>
    </xf>
    <xf numFmtId="0" fontId="9" fillId="0" borderId="20" xfId="0" applyFont="1" applyBorder="1" applyAlignment="1" applyProtection="1">
      <alignment horizontal="left" vertical="top" wrapText="1"/>
      <protection locked="0"/>
    </xf>
    <xf numFmtId="0" fontId="9" fillId="0" borderId="35" xfId="0" applyFont="1" applyBorder="1" applyAlignment="1" applyProtection="1">
      <alignment horizontal="left" vertical="top" wrapText="1"/>
      <protection locked="0"/>
    </xf>
    <xf numFmtId="0" fontId="9" fillId="0" borderId="29" xfId="0" applyFont="1" applyBorder="1" applyAlignment="1" applyProtection="1">
      <alignment horizontal="left" vertical="top" wrapText="1"/>
      <protection locked="0"/>
    </xf>
    <xf numFmtId="0" fontId="9" fillId="0" borderId="0" xfId="0" applyFont="1" applyBorder="1" applyAlignment="1" applyProtection="1">
      <alignment horizontal="left" vertical="top" wrapText="1"/>
      <protection locked="0"/>
    </xf>
    <xf numFmtId="0" fontId="9" fillId="0" borderId="49" xfId="0" applyFont="1" applyBorder="1" applyAlignment="1" applyProtection="1">
      <alignment horizontal="left" vertical="top" wrapText="1"/>
      <protection locked="0"/>
    </xf>
    <xf numFmtId="0" fontId="9" fillId="0" borderId="51" xfId="0" applyFont="1" applyBorder="1" applyAlignment="1" applyProtection="1">
      <alignment horizontal="left" vertical="top" wrapText="1"/>
      <protection locked="0"/>
    </xf>
    <xf numFmtId="0" fontId="9" fillId="0" borderId="10" xfId="0" applyFont="1" applyBorder="1" applyAlignment="1" applyProtection="1">
      <alignment horizontal="left" vertical="top" wrapText="1"/>
      <protection locked="0"/>
    </xf>
    <xf numFmtId="0" fontId="9" fillId="0" borderId="52" xfId="0" applyFont="1" applyBorder="1" applyAlignment="1" applyProtection="1">
      <alignment horizontal="left" vertical="top" wrapText="1"/>
      <protection locked="0"/>
    </xf>
    <xf numFmtId="0" fontId="9" fillId="0" borderId="1" xfId="0" applyFont="1" applyBorder="1" applyAlignment="1">
      <alignment horizontal="center" vertical="top"/>
    </xf>
    <xf numFmtId="0" fontId="9" fillId="0" borderId="0" xfId="0" applyFont="1" applyAlignment="1">
      <alignment horizontal="left"/>
    </xf>
    <xf numFmtId="0" fontId="9" fillId="0" borderId="98" xfId="0" applyFont="1" applyBorder="1" applyAlignment="1">
      <alignment horizontal="center" vertical="center"/>
    </xf>
    <xf numFmtId="0" fontId="62" fillId="0" borderId="0" xfId="0" applyFont="1" applyAlignment="1">
      <alignment horizontal="center" wrapText="1"/>
    </xf>
    <xf numFmtId="49" fontId="5" fillId="0" borderId="4" xfId="0" applyNumberFormat="1" applyFont="1" applyBorder="1" applyAlignment="1" applyProtection="1">
      <alignment horizontal="left"/>
      <protection locked="0"/>
    </xf>
    <xf numFmtId="49" fontId="2" fillId="0" borderId="4" xfId="0" applyNumberFormat="1" applyFont="1" applyBorder="1" applyProtection="1">
      <protection locked="0"/>
    </xf>
    <xf numFmtId="0" fontId="9" fillId="0" borderId="0" xfId="0" applyFont="1" applyAlignment="1">
      <alignment horizontal="center" vertical="top" wrapText="1"/>
    </xf>
    <xf numFmtId="0" fontId="67" fillId="0" borderId="0" xfId="0" applyFont="1" applyAlignment="1">
      <alignment horizontal="center" vertical="center" wrapText="1"/>
    </xf>
    <xf numFmtId="0" fontId="67" fillId="0" borderId="10" xfId="0" applyFont="1" applyBorder="1" applyAlignment="1">
      <alignment horizontal="center" vertical="center" wrapText="1"/>
    </xf>
    <xf numFmtId="49" fontId="115" fillId="5" borderId="0" xfId="8" applyNumberFormat="1" applyFont="1" applyFill="1" applyAlignment="1" applyProtection="1">
      <alignment horizontal="center" vertical="center"/>
    </xf>
    <xf numFmtId="0" fontId="115" fillId="5" borderId="0" xfId="8" applyFont="1" applyFill="1" applyAlignment="1">
      <alignment horizontal="center"/>
      <protection locked="0"/>
    </xf>
    <xf numFmtId="176" fontId="9" fillId="0" borderId="45" xfId="0" applyNumberFormat="1" applyFont="1" applyBorder="1" applyAlignment="1" applyProtection="1">
      <alignment horizontal="center"/>
      <protection locked="0"/>
    </xf>
    <xf numFmtId="0" fontId="5" fillId="0" borderId="4" xfId="0" applyFont="1" applyBorder="1" applyAlignment="1">
      <alignment horizontal="center"/>
    </xf>
    <xf numFmtId="0" fontId="2" fillId="0" borderId="4" xfId="0" applyFont="1" applyBorder="1" applyAlignment="1">
      <alignment horizontal="center"/>
    </xf>
    <xf numFmtId="0" fontId="5" fillId="0" borderId="4" xfId="0" applyFont="1" applyBorder="1" applyAlignment="1">
      <alignment horizontal="left"/>
    </xf>
    <xf numFmtId="0" fontId="2" fillId="0" borderId="4" xfId="0" applyFont="1" applyBorder="1"/>
    <xf numFmtId="0" fontId="11" fillId="0" borderId="0" xfId="0" applyFont="1" applyAlignment="1">
      <alignment horizontal="right" vertical="top" wrapText="1"/>
    </xf>
    <xf numFmtId="0" fontId="9" fillId="0" borderId="99" xfId="0" applyFont="1" applyBorder="1" applyAlignment="1">
      <alignment horizontal="left" wrapText="1"/>
    </xf>
    <xf numFmtId="0" fontId="9" fillId="0" borderId="42" xfId="0" applyFont="1" applyBorder="1" applyAlignment="1">
      <alignment horizontal="left" wrapText="1"/>
    </xf>
    <xf numFmtId="38" fontId="60" fillId="0" borderId="0" xfId="0" applyNumberFormat="1" applyFont="1" applyAlignment="1">
      <alignment horizontal="right"/>
    </xf>
    <xf numFmtId="0" fontId="99" fillId="0" borderId="0" xfId="8" applyFont="1" applyFill="1" applyAlignment="1" applyProtection="1">
      <alignment horizontal="left"/>
    </xf>
    <xf numFmtId="38" fontId="5" fillId="0" borderId="2" xfId="0" applyNumberFormat="1" applyFont="1" applyBorder="1"/>
    <xf numFmtId="0" fontId="0" fillId="0" borderId="2" xfId="0" applyBorder="1"/>
    <xf numFmtId="49" fontId="5" fillId="0" borderId="4" xfId="0" applyNumberFormat="1" applyFont="1" applyBorder="1" applyAlignment="1">
      <alignment horizontal="left"/>
    </xf>
    <xf numFmtId="0" fontId="0" fillId="0" borderId="4" xfId="0" applyBorder="1"/>
    <xf numFmtId="0" fontId="10" fillId="0" borderId="0" xfId="0" applyFont="1" applyAlignment="1">
      <alignment horizontal="right"/>
    </xf>
    <xf numFmtId="0" fontId="0" fillId="0" borderId="0" xfId="0" applyAlignment="1">
      <alignment horizontal="right"/>
    </xf>
    <xf numFmtId="0" fontId="98" fillId="0" borderId="0" xfId="0" applyFont="1" applyAlignment="1">
      <alignment horizontal="left" vertical="top" wrapText="1"/>
    </xf>
    <xf numFmtId="0" fontId="10" fillId="6" borderId="0" xfId="0" applyFont="1" applyFill="1" applyAlignment="1">
      <alignment horizontal="center"/>
    </xf>
    <xf numFmtId="0" fontId="38" fillId="6" borderId="0" xfId="8" applyFont="1" applyFill="1" applyAlignment="1" applyProtection="1">
      <alignment horizontal="left"/>
    </xf>
    <xf numFmtId="0" fontId="0" fillId="0" borderId="4" xfId="0" applyBorder="1" applyAlignment="1">
      <alignment horizontal="left"/>
    </xf>
    <xf numFmtId="0" fontId="89" fillId="0" borderId="10" xfId="0" applyFont="1" applyBorder="1" applyAlignment="1">
      <alignment horizontal="center" vertical="center"/>
    </xf>
    <xf numFmtId="0" fontId="7" fillId="0" borderId="22" xfId="0" applyFont="1" applyBorder="1" applyAlignment="1">
      <alignment horizontal="center"/>
    </xf>
    <xf numFmtId="0" fontId="7" fillId="0" borderId="19" xfId="0" applyFont="1" applyBorder="1" applyAlignment="1">
      <alignment horizontal="center"/>
    </xf>
    <xf numFmtId="0" fontId="11" fillId="0" borderId="0" xfId="0" applyFont="1" applyBorder="1" applyAlignment="1">
      <alignment horizontal="center" wrapText="1"/>
    </xf>
    <xf numFmtId="0" fontId="9" fillId="0" borderId="0" xfId="0" applyFont="1" applyAlignment="1">
      <alignment horizontal="right"/>
    </xf>
    <xf numFmtId="0" fontId="9" fillId="0" borderId="46" xfId="0" applyFont="1" applyBorder="1" applyAlignment="1">
      <alignment horizontal="left" wrapText="1"/>
    </xf>
    <xf numFmtId="0" fontId="9" fillId="0" borderId="20" xfId="0" applyFont="1" applyBorder="1" applyAlignment="1">
      <alignment horizontal="left" wrapText="1"/>
    </xf>
    <xf numFmtId="0" fontId="9" fillId="0" borderId="29" xfId="0" applyFont="1" applyBorder="1" applyAlignment="1">
      <alignment wrapText="1"/>
    </xf>
    <xf numFmtId="0" fontId="9" fillId="0" borderId="0" xfId="0" applyFont="1" applyBorder="1" applyAlignment="1">
      <alignment wrapText="1"/>
    </xf>
    <xf numFmtId="0" fontId="9" fillId="0" borderId="51" xfId="0" applyFont="1" applyBorder="1" applyAlignment="1">
      <alignment horizontal="left" wrapText="1"/>
    </xf>
    <xf numFmtId="0" fontId="9" fillId="0" borderId="10" xfId="0" applyFont="1" applyBorder="1" applyAlignment="1">
      <alignment horizontal="left" wrapText="1"/>
    </xf>
    <xf numFmtId="37" fontId="9" fillId="0" borderId="0" xfId="0" applyNumberFormat="1" applyFont="1"/>
    <xf numFmtId="0" fontId="9" fillId="0" borderId="29" xfId="0" applyFont="1" applyBorder="1" applyAlignment="1">
      <alignment horizontal="left" wrapText="1"/>
    </xf>
    <xf numFmtId="0" fontId="82" fillId="0" borderId="0" xfId="0" applyFont="1" applyAlignment="1">
      <alignment horizontal="left"/>
    </xf>
    <xf numFmtId="0" fontId="9" fillId="0" borderId="0" xfId="0" applyFont="1" applyAlignment="1">
      <alignment horizontal="left" vertical="top" wrapText="1"/>
    </xf>
    <xf numFmtId="0" fontId="9" fillId="0" borderId="93" xfId="0" applyFont="1" applyBorder="1" applyAlignment="1">
      <alignment horizontal="left" wrapText="1"/>
    </xf>
    <xf numFmtId="0" fontId="9" fillId="0" borderId="15" xfId="0" applyFont="1" applyBorder="1" applyAlignment="1">
      <alignment horizontal="center"/>
    </xf>
    <xf numFmtId="0" fontId="0" fillId="0" borderId="32" xfId="0" applyBorder="1"/>
    <xf numFmtId="0" fontId="9" fillId="0" borderId="36" xfId="0" applyFont="1" applyBorder="1" applyAlignment="1">
      <alignment horizontal="center" wrapText="1"/>
    </xf>
    <xf numFmtId="0" fontId="0" fillId="0" borderId="56" xfId="0" applyBorder="1" applyAlignment="1">
      <alignment horizontal="center" wrapText="1"/>
    </xf>
    <xf numFmtId="0" fontId="9" fillId="0" borderId="56" xfId="0" applyFont="1" applyBorder="1" applyAlignment="1">
      <alignment horizontal="center" wrapText="1"/>
    </xf>
    <xf numFmtId="0" fontId="9" fillId="0" borderId="0" xfId="0" applyFont="1" applyAlignment="1">
      <alignment horizontal="center" wrapText="1"/>
    </xf>
    <xf numFmtId="0" fontId="9" fillId="0" borderId="10" xfId="0" applyFont="1" applyBorder="1" applyAlignment="1">
      <alignment horizontal="center" wrapText="1"/>
    </xf>
    <xf numFmtId="0" fontId="9" fillId="0" borderId="0" xfId="0" applyFont="1" applyAlignment="1">
      <alignment horizontal="left" vertical="center" wrapText="1"/>
    </xf>
    <xf numFmtId="0" fontId="0" fillId="0" borderId="0" xfId="0" applyAlignment="1">
      <alignment horizontal="left" vertical="center" wrapText="1"/>
    </xf>
    <xf numFmtId="0" fontId="8" fillId="0" borderId="4" xfId="0" applyFont="1" applyBorder="1" applyAlignment="1">
      <alignment horizontal="center"/>
    </xf>
    <xf numFmtId="0" fontId="11" fillId="0" borderId="0" xfId="0" applyFont="1" applyAlignment="1">
      <alignment horizontal="center" vertical="top" wrapText="1"/>
    </xf>
    <xf numFmtId="0" fontId="45" fillId="5" borderId="31" xfId="8" applyFont="1" applyFill="1" applyBorder="1" applyAlignment="1" applyProtection="1">
      <alignment horizontal="center"/>
    </xf>
    <xf numFmtId="0" fontId="45" fillId="5" borderId="33" xfId="8" applyFont="1" applyFill="1" applyBorder="1" applyAlignment="1" applyProtection="1">
      <alignment horizontal="center"/>
    </xf>
    <xf numFmtId="0" fontId="45" fillId="5" borderId="93" xfId="8" applyFont="1" applyFill="1" applyBorder="1" applyAlignment="1" applyProtection="1">
      <alignment horizontal="center"/>
    </xf>
    <xf numFmtId="0" fontId="45" fillId="5" borderId="88" xfId="8" applyFont="1" applyFill="1" applyBorder="1" applyAlignment="1" applyProtection="1">
      <alignment horizontal="center"/>
    </xf>
    <xf numFmtId="0" fontId="16" fillId="0" borderId="34" xfId="11" applyFont="1" applyBorder="1" applyAlignment="1">
      <alignment horizontal="center"/>
    </xf>
    <xf numFmtId="0" fontId="16" fillId="0" borderId="5" xfId="11" applyFont="1" applyBorder="1" applyAlignment="1">
      <alignment horizontal="center"/>
    </xf>
    <xf numFmtId="177" fontId="16" fillId="2" borderId="5" xfId="11" applyNumberFormat="1" applyFont="1" applyFill="1" applyBorder="1" applyAlignment="1">
      <alignment horizontal="center"/>
    </xf>
    <xf numFmtId="37" fontId="9" fillId="0" borderId="0" xfId="0" applyNumberFormat="1" applyFont="1" applyAlignment="1">
      <alignment horizontal="right"/>
    </xf>
    <xf numFmtId="3" fontId="9" fillId="0" borderId="0" xfId="11" applyNumberFormat="1" applyFont="1" applyAlignment="1">
      <alignment horizontal="right"/>
    </xf>
    <xf numFmtId="0" fontId="16" fillId="0" borderId="33" xfId="11" applyFont="1" applyBorder="1" applyAlignment="1">
      <alignment horizontal="center"/>
    </xf>
    <xf numFmtId="0" fontId="16" fillId="0" borderId="15" xfId="11" applyFont="1" applyBorder="1" applyAlignment="1">
      <alignment horizontal="center"/>
    </xf>
    <xf numFmtId="177" fontId="16" fillId="0" borderId="15" xfId="11" applyNumberFormat="1" applyFont="1" applyBorder="1" applyAlignment="1">
      <alignment horizontal="center"/>
    </xf>
    <xf numFmtId="165" fontId="9" fillId="0" borderId="0" xfId="0" applyNumberFormat="1" applyFont="1" applyAlignment="1">
      <alignment horizontal="right"/>
    </xf>
    <xf numFmtId="3" fontId="9" fillId="0" borderId="0" xfId="0" applyNumberFormat="1" applyFont="1"/>
    <xf numFmtId="37" fontId="9" fillId="0" borderId="0" xfId="0" applyNumberFormat="1" applyFont="1" applyBorder="1" applyAlignment="1">
      <alignment horizontal="right"/>
    </xf>
    <xf numFmtId="37" fontId="13" fillId="0" borderId="0" xfId="0" applyNumberFormat="1" applyFont="1" applyBorder="1" applyAlignment="1">
      <alignment horizontal="right"/>
    </xf>
    <xf numFmtId="4" fontId="13" fillId="0" borderId="9" xfId="0" applyNumberFormat="1" applyFont="1" applyBorder="1" applyAlignment="1" applyProtection="1">
      <alignment horizontal="right"/>
      <protection locked="0"/>
    </xf>
    <xf numFmtId="49" fontId="11" fillId="0" borderId="0" xfId="0" applyNumberFormat="1" applyFont="1" applyAlignment="1">
      <alignment horizontal="left"/>
    </xf>
    <xf numFmtId="0" fontId="33" fillId="0" borderId="0" xfId="0" applyFont="1" applyAlignment="1">
      <alignment horizontal="left"/>
    </xf>
    <xf numFmtId="0" fontId="11" fillId="0" borderId="0" xfId="0" applyFont="1" applyBorder="1" applyAlignment="1">
      <alignment horizontal="center"/>
    </xf>
    <xf numFmtId="37" fontId="11" fillId="0" borderId="0" xfId="0" applyNumberFormat="1" applyFont="1" applyBorder="1" applyAlignment="1">
      <alignment horizontal="center"/>
    </xf>
    <xf numFmtId="4" fontId="13" fillId="0" borderId="100" xfId="0" applyNumberFormat="1" applyFont="1" applyBorder="1" applyAlignment="1">
      <alignment horizontal="right"/>
    </xf>
    <xf numFmtId="4" fontId="13" fillId="0" borderId="101" xfId="0" applyNumberFormat="1" applyFont="1" applyBorder="1" applyAlignment="1">
      <alignment horizontal="right"/>
    </xf>
    <xf numFmtId="4" fontId="13" fillId="0" borderId="104" xfId="0" applyNumberFormat="1" applyFont="1" applyBorder="1" applyAlignment="1" applyProtection="1">
      <alignment horizontal="right"/>
      <protection locked="0"/>
    </xf>
    <xf numFmtId="4" fontId="13" fillId="0" borderId="105" xfId="0" applyNumberFormat="1" applyFont="1" applyBorder="1" applyAlignment="1" applyProtection="1">
      <alignment horizontal="right"/>
      <protection locked="0"/>
    </xf>
    <xf numFmtId="4" fontId="13" fillId="0" borderId="26" xfId="0" applyNumberFormat="1" applyFont="1" applyBorder="1" applyAlignment="1" applyProtection="1">
      <alignment horizontal="right"/>
      <protection locked="0"/>
    </xf>
    <xf numFmtId="4" fontId="13" fillId="0" borderId="2" xfId="0" applyNumberFormat="1" applyFont="1" applyBorder="1" applyAlignment="1" applyProtection="1">
      <alignment horizontal="right"/>
      <protection locked="0"/>
    </xf>
    <xf numFmtId="4" fontId="13" fillId="0" borderId="102" xfId="0" applyNumberFormat="1" applyFont="1" applyBorder="1" applyAlignment="1">
      <alignment horizontal="right"/>
    </xf>
    <xf numFmtId="4" fontId="13" fillId="0" borderId="103" xfId="0" applyNumberFormat="1" applyFont="1" applyBorder="1" applyAlignment="1">
      <alignment horizontal="right"/>
    </xf>
    <xf numFmtId="49" fontId="5" fillId="0" borderId="45" xfId="0" applyNumberFormat="1" applyFont="1" applyBorder="1" applyAlignment="1">
      <alignment horizontal="center"/>
    </xf>
    <xf numFmtId="0" fontId="13" fillId="0" borderId="1" xfId="0" applyFont="1" applyBorder="1" applyAlignment="1">
      <alignment horizontal="center"/>
    </xf>
    <xf numFmtId="0" fontId="13" fillId="0" borderId="33" xfId="0" applyFont="1" applyBorder="1" applyAlignment="1">
      <alignment horizontal="center"/>
    </xf>
    <xf numFmtId="0" fontId="23" fillId="0" borderId="26" xfId="0" applyFont="1" applyBorder="1" applyAlignment="1">
      <alignment horizontal="center"/>
    </xf>
    <xf numFmtId="0" fontId="23" fillId="0" borderId="0" xfId="0" applyFont="1" applyAlignment="1">
      <alignment horizontal="center"/>
    </xf>
    <xf numFmtId="0" fontId="23" fillId="0" borderId="2" xfId="0" applyFont="1" applyBorder="1" applyAlignment="1">
      <alignment horizontal="center"/>
    </xf>
    <xf numFmtId="0" fontId="13" fillId="0" borderId="39" xfId="0" applyFont="1" applyBorder="1" applyAlignment="1">
      <alignment horizontal="center"/>
    </xf>
    <xf numFmtId="0" fontId="13" fillId="0" borderId="81" xfId="0" applyFont="1" applyBorder="1" applyAlignment="1">
      <alignment horizontal="center"/>
    </xf>
    <xf numFmtId="0" fontId="115" fillId="5" borderId="0" xfId="8" quotePrefix="1" applyFont="1" applyFill="1" applyAlignment="1" applyProtection="1">
      <alignment horizontal="center" vertical="center"/>
    </xf>
    <xf numFmtId="0" fontId="115" fillId="5" borderId="0" xfId="8" applyFont="1" applyFill="1" applyAlignment="1" applyProtection="1">
      <alignment horizontal="center" vertical="center"/>
    </xf>
    <xf numFmtId="0" fontId="90" fillId="0" borderId="0" xfId="13" applyFont="1" applyFill="1" applyAlignment="1">
      <alignment horizontal="left" wrapText="1"/>
    </xf>
    <xf numFmtId="37" fontId="9" fillId="0" borderId="0" xfId="13" applyNumberFormat="1" applyFont="1" applyFill="1" applyAlignment="1">
      <alignment horizontal="left" vertical="top" wrapText="1"/>
    </xf>
    <xf numFmtId="0" fontId="9" fillId="0" borderId="10" xfId="21" applyFont="1" applyFill="1" applyBorder="1" applyAlignment="1" applyProtection="1">
      <alignment horizontal="left" vertical="top" wrapText="1"/>
      <protection locked="0"/>
    </xf>
    <xf numFmtId="0" fontId="90" fillId="0" borderId="0" xfId="13" applyFont="1" applyFill="1" applyAlignment="1">
      <alignment horizontal="center" wrapText="1"/>
    </xf>
    <xf numFmtId="0" fontId="90" fillId="0" borderId="0" xfId="13" applyFont="1" applyFill="1" applyAlignment="1">
      <alignment horizontal="center" vertical="center" wrapText="1"/>
    </xf>
    <xf numFmtId="37" fontId="63" fillId="0" borderId="0" xfId="13" applyNumberFormat="1" applyFont="1" applyFill="1" applyAlignment="1">
      <alignment horizontal="left" vertical="top" wrapText="1"/>
    </xf>
    <xf numFmtId="37" fontId="13" fillId="0" borderId="0" xfId="13" applyNumberFormat="1" applyFont="1" applyFill="1" applyAlignment="1">
      <alignment horizontal="left" vertical="top" wrapText="1"/>
    </xf>
    <xf numFmtId="37" fontId="13" fillId="0" borderId="0" xfId="13" applyNumberFormat="1" applyFont="1" applyFill="1" applyAlignment="1">
      <alignment horizontal="left" vertical="top"/>
    </xf>
    <xf numFmtId="0" fontId="26" fillId="0" borderId="0" xfId="0" applyFont="1"/>
    <xf numFmtId="0" fontId="9" fillId="0" borderId="10" xfId="21" applyFont="1" applyFill="1" applyBorder="1" applyAlignment="1" applyProtection="1">
      <alignment horizontal="left" vertical="top"/>
      <protection locked="0"/>
    </xf>
    <xf numFmtId="0" fontId="9" fillId="0" borderId="0" xfId="13" applyFont="1" applyFill="1" applyAlignment="1">
      <alignment horizontal="left" vertical="top" wrapText="1"/>
    </xf>
    <xf numFmtId="0" fontId="13" fillId="0" borderId="0" xfId="13" applyFont="1" applyFill="1" applyAlignment="1">
      <alignment horizontal="left" vertical="top" wrapText="1"/>
    </xf>
    <xf numFmtId="37" fontId="13" fillId="2" borderId="4" xfId="13" applyNumberFormat="1" applyFont="1" applyBorder="1" applyAlignment="1">
      <alignment horizontal="left"/>
    </xf>
    <xf numFmtId="37" fontId="13" fillId="2" borderId="0" xfId="13" applyNumberFormat="1" applyFont="1"/>
    <xf numFmtId="37" fontId="11" fillId="0" borderId="0" xfId="13" applyNumberFormat="1" applyFont="1" applyFill="1" applyAlignment="1">
      <alignment horizontal="center" vertical="top" wrapText="1"/>
    </xf>
    <xf numFmtId="0" fontId="0" fillId="0" borderId="0" xfId="0" applyAlignment="1">
      <alignment horizontal="center" wrapText="1"/>
    </xf>
    <xf numFmtId="37" fontId="63" fillId="0" borderId="0" xfId="13" applyNumberFormat="1" applyFont="1" applyFill="1" applyAlignment="1">
      <alignment horizontal="left" wrapText="1"/>
    </xf>
    <xf numFmtId="0" fontId="91" fillId="0" borderId="0" xfId="0" applyFont="1" applyAlignment="1">
      <alignment wrapText="1"/>
    </xf>
    <xf numFmtId="0" fontId="63" fillId="0" borderId="0" xfId="13" applyFont="1" applyFill="1" applyAlignment="1">
      <alignment horizontal="left" vertical="top" wrapText="1"/>
    </xf>
    <xf numFmtId="37" fontId="13" fillId="2" borderId="0" xfId="13" applyNumberFormat="1" applyFont="1" applyAlignment="1">
      <alignment horizontal="left" vertical="center" wrapText="1"/>
    </xf>
    <xf numFmtId="37" fontId="115" fillId="5" borderId="0" xfId="8" applyNumberFormat="1" applyFont="1" applyFill="1" applyAlignment="1" applyProtection="1">
      <alignment horizontal="center" vertical="center"/>
    </xf>
    <xf numFmtId="0" fontId="5" fillId="0" borderId="0" xfId="13" applyFont="1" applyFill="1" applyAlignment="1">
      <alignment horizontal="left"/>
    </xf>
    <xf numFmtId="0" fontId="5" fillId="0" borderId="10" xfId="13" applyFont="1" applyFill="1" applyBorder="1" applyAlignment="1" applyProtection="1">
      <alignment horizontal="left"/>
      <protection locked="0"/>
    </xf>
    <xf numFmtId="0" fontId="5" fillId="0" borderId="0" xfId="13" applyFont="1" applyFill="1" applyAlignment="1">
      <alignment vertical="top" wrapText="1"/>
    </xf>
    <xf numFmtId="0" fontId="0" fillId="0" borderId="0" xfId="0" applyAlignment="1">
      <alignment vertical="top" wrapText="1"/>
    </xf>
    <xf numFmtId="0" fontId="5" fillId="0" borderId="0" xfId="0" applyFont="1" applyAlignment="1">
      <alignment vertical="top" wrapText="1"/>
    </xf>
    <xf numFmtId="0" fontId="0" fillId="0" borderId="0" xfId="0" applyAlignment="1">
      <alignment wrapText="1"/>
    </xf>
    <xf numFmtId="0" fontId="67" fillId="0" borderId="0" xfId="0" applyFont="1" applyAlignment="1">
      <alignment horizontal="center" wrapText="1"/>
    </xf>
    <xf numFmtId="49" fontId="38" fillId="5" borderId="0" xfId="8" applyNumberFormat="1" applyFont="1" applyFill="1" applyAlignment="1" applyProtection="1">
      <alignment horizontal="center" vertical="center"/>
    </xf>
    <xf numFmtId="0" fontId="10" fillId="0" borderId="0" xfId="13" applyFont="1" applyFill="1" applyAlignment="1">
      <alignment horizontal="center" wrapText="1"/>
    </xf>
    <xf numFmtId="0" fontId="2" fillId="0" borderId="0" xfId="0" applyFont="1" applyAlignment="1">
      <alignment horizontal="center" wrapText="1"/>
    </xf>
    <xf numFmtId="0" fontId="5" fillId="0" borderId="0" xfId="0" applyFont="1" applyAlignment="1">
      <alignment horizontal="left"/>
    </xf>
    <xf numFmtId="0" fontId="5" fillId="0" borderId="0" xfId="8" applyNumberFormat="1" applyFont="1" applyFill="1" applyAlignment="1" applyProtection="1">
      <alignment horizontal="left"/>
    </xf>
    <xf numFmtId="0" fontId="5" fillId="2" borderId="0" xfId="13" applyFont="1" applyAlignment="1">
      <alignment horizontal="left" wrapText="1"/>
    </xf>
    <xf numFmtId="0" fontId="5" fillId="0" borderId="0" xfId="0" quotePrefix="1" applyFont="1" applyAlignment="1">
      <alignment horizontal="left"/>
    </xf>
    <xf numFmtId="49" fontId="25" fillId="0" borderId="0" xfId="13" applyNumberFormat="1" applyFont="1" applyFill="1" applyAlignment="1">
      <alignment horizontal="left"/>
    </xf>
    <xf numFmtId="37" fontId="5" fillId="0" borderId="0" xfId="0" applyNumberFormat="1" applyFont="1" applyAlignment="1">
      <alignment horizontal="right"/>
    </xf>
    <xf numFmtId="0" fontId="5" fillId="0" borderId="0" xfId="0" quotePrefix="1" applyFont="1" applyAlignment="1">
      <alignment horizontal="left" wrapText="1"/>
    </xf>
    <xf numFmtId="0" fontId="11" fillId="0" borderId="31" xfId="0" applyFont="1" applyBorder="1"/>
    <xf numFmtId="0" fontId="11" fillId="0" borderId="1" xfId="0" applyFont="1" applyBorder="1"/>
    <xf numFmtId="0" fontId="10" fillId="0" borderId="4" xfId="0" applyFont="1" applyBorder="1" applyAlignment="1">
      <alignment horizontal="center" vertical="center" wrapText="1"/>
    </xf>
    <xf numFmtId="0" fontId="10" fillId="0" borderId="4" xfId="0" applyFont="1" applyBorder="1" applyAlignment="1">
      <alignment horizontal="center" vertical="center"/>
    </xf>
    <xf numFmtId="0" fontId="10" fillId="0" borderId="26" xfId="0" applyFont="1" applyBorder="1"/>
    <xf numFmtId="0" fontId="10" fillId="0" borderId="0" xfId="0" applyFont="1"/>
    <xf numFmtId="0" fontId="16" fillId="0" borderId="0" xfId="14" applyFont="1" applyFill="1" applyAlignment="1">
      <alignment horizontal="left"/>
    </xf>
    <xf numFmtId="0" fontId="16" fillId="0" borderId="10" xfId="14" applyFont="1" applyFill="1" applyBorder="1" applyAlignment="1" applyProtection="1">
      <alignment horizontal="center"/>
      <protection locked="0"/>
    </xf>
    <xf numFmtId="0" fontId="0" fillId="0" borderId="10" xfId="0" applyBorder="1" applyAlignment="1" applyProtection="1">
      <alignment horizontal="center"/>
      <protection locked="0"/>
    </xf>
    <xf numFmtId="0" fontId="16" fillId="0" borderId="0" xfId="0" applyFont="1"/>
    <xf numFmtId="0" fontId="7" fillId="2" borderId="10" xfId="14" applyFont="1" applyBorder="1" applyAlignment="1" applyProtection="1">
      <alignment horizontal="center"/>
      <protection locked="0"/>
    </xf>
    <xf numFmtId="0" fontId="79" fillId="2" borderId="0" xfId="14" applyFont="1" applyAlignment="1">
      <alignment horizontal="center" wrapText="1"/>
    </xf>
    <xf numFmtId="0" fontId="16" fillId="0" borderId="0" xfId="0" applyFont="1" applyAlignment="1">
      <alignment horizontal="center"/>
    </xf>
    <xf numFmtId="0" fontId="0" fillId="0" borderId="0" xfId="0" applyAlignment="1">
      <alignment horizontal="center"/>
    </xf>
    <xf numFmtId="0" fontId="79" fillId="0" borderId="0" xfId="13" applyFont="1" applyFill="1" applyAlignment="1">
      <alignment horizontal="center" wrapText="1"/>
    </xf>
    <xf numFmtId="37" fontId="14" fillId="0" borderId="46" xfId="14" applyNumberFormat="1" applyFont="1" applyFill="1" applyBorder="1" applyAlignment="1">
      <alignment horizontal="center"/>
    </xf>
    <xf numFmtId="37" fontId="14" fillId="0" borderId="20" xfId="14" applyNumberFormat="1" applyFont="1" applyFill="1" applyBorder="1" applyAlignment="1">
      <alignment horizontal="center"/>
    </xf>
    <xf numFmtId="37" fontId="14" fillId="0" borderId="35" xfId="14" applyNumberFormat="1" applyFont="1" applyFill="1" applyBorder="1" applyAlignment="1">
      <alignment horizontal="center"/>
    </xf>
    <xf numFmtId="0" fontId="16" fillId="2" borderId="0" xfId="13" applyFont="1" applyAlignment="1">
      <alignment horizontal="center" wrapText="1"/>
    </xf>
    <xf numFmtId="0" fontId="16" fillId="2" borderId="4" xfId="13" applyFont="1" applyBorder="1" applyAlignment="1">
      <alignment horizontal="center" wrapText="1"/>
    </xf>
    <xf numFmtId="0" fontId="16" fillId="0" borderId="10" xfId="0" applyFont="1" applyBorder="1" applyAlignment="1" applyProtection="1">
      <alignment horizontal="center"/>
      <protection locked="0"/>
    </xf>
    <xf numFmtId="37" fontId="14" fillId="2" borderId="29" xfId="14" applyNumberFormat="1" applyFont="1" applyBorder="1" applyAlignment="1">
      <alignment horizontal="left" wrapText="1"/>
    </xf>
    <xf numFmtId="37" fontId="14" fillId="2" borderId="0" xfId="14" applyNumberFormat="1" applyFont="1" applyAlignment="1">
      <alignment horizontal="left" wrapText="1"/>
    </xf>
    <xf numFmtId="37" fontId="14" fillId="2" borderId="51" xfId="14" applyNumberFormat="1" applyFont="1" applyBorder="1" applyAlignment="1">
      <alignment horizontal="left" wrapText="1"/>
    </xf>
    <xf numFmtId="37" fontId="14" fillId="2" borderId="10" xfId="14" applyNumberFormat="1" applyFont="1" applyBorder="1" applyAlignment="1">
      <alignment horizontal="left" wrapText="1"/>
    </xf>
    <xf numFmtId="37" fontId="14" fillId="2" borderId="54" xfId="14" applyNumberFormat="1" applyFont="1" applyBorder="1" applyAlignment="1">
      <alignment horizontal="center" vertical="center"/>
    </xf>
    <xf numFmtId="37" fontId="14" fillId="2" borderId="11" xfId="14" applyNumberFormat="1" applyFont="1" applyBorder="1" applyAlignment="1">
      <alignment horizontal="center" vertical="center"/>
    </xf>
    <xf numFmtId="37" fontId="14" fillId="2" borderId="29" xfId="14" applyNumberFormat="1" applyFont="1" applyBorder="1" applyAlignment="1">
      <alignment horizontal="left" vertical="center" wrapText="1"/>
    </xf>
    <xf numFmtId="37" fontId="14" fillId="2" borderId="0" xfId="14" applyNumberFormat="1" applyFont="1" applyAlignment="1">
      <alignment horizontal="left" vertical="center" wrapText="1"/>
    </xf>
    <xf numFmtId="37" fontId="14" fillId="2" borderId="20" xfId="14" applyNumberFormat="1" applyFont="1" applyBorder="1" applyAlignment="1">
      <alignment horizontal="center"/>
    </xf>
    <xf numFmtId="0" fontId="7" fillId="2" borderId="20" xfId="14" applyFont="1" applyBorder="1" applyAlignment="1">
      <alignment horizontal="left" vertical="top" wrapText="1"/>
    </xf>
    <xf numFmtId="0" fontId="7" fillId="2" borderId="35" xfId="14" applyFont="1" applyBorder="1" applyAlignment="1">
      <alignment horizontal="left" vertical="top" wrapText="1"/>
    </xf>
    <xf numFmtId="0" fontId="7" fillId="2" borderId="0" xfId="14" applyFont="1" applyAlignment="1">
      <alignment horizontal="left" vertical="top" wrapText="1"/>
    </xf>
    <xf numFmtId="0" fontId="7" fillId="2" borderId="49" xfId="14" applyFont="1" applyBorder="1" applyAlignment="1">
      <alignment horizontal="left" vertical="top" wrapText="1"/>
    </xf>
    <xf numFmtId="0" fontId="7" fillId="2" borderId="29" xfId="14" applyFont="1" applyBorder="1" applyAlignment="1">
      <alignment horizontal="left" vertical="top" wrapText="1"/>
    </xf>
    <xf numFmtId="0" fontId="7" fillId="2" borderId="51" xfId="14" applyFont="1" applyBorder="1" applyAlignment="1">
      <alignment horizontal="left" vertical="top" wrapText="1"/>
    </xf>
    <xf numFmtId="0" fontId="7" fillId="2" borderId="10" xfId="14" applyFont="1" applyBorder="1" applyAlignment="1">
      <alignment horizontal="left" vertical="top" wrapText="1"/>
    </xf>
    <xf numFmtId="0" fontId="7" fillId="2" borderId="52" xfId="14" applyFont="1" applyBorder="1" applyAlignment="1">
      <alignment horizontal="left" vertical="top" wrapText="1"/>
    </xf>
    <xf numFmtId="0" fontId="16" fillId="0" borderId="0" xfId="13" applyFont="1" applyFill="1" applyAlignment="1">
      <alignment horizontal="center" wrapText="1"/>
    </xf>
    <xf numFmtId="0" fontId="16" fillId="0" borderId="4" xfId="13" applyFont="1" applyFill="1" applyBorder="1" applyAlignment="1">
      <alignment horizontal="center" wrapText="1"/>
    </xf>
    <xf numFmtId="0" fontId="16" fillId="2" borderId="35" xfId="13" applyFont="1" applyBorder="1" applyAlignment="1">
      <alignment horizontal="center" wrapText="1"/>
    </xf>
    <xf numFmtId="0" fontId="16" fillId="2" borderId="47" xfId="13" applyFont="1" applyBorder="1" applyAlignment="1">
      <alignment horizontal="center" wrapText="1"/>
    </xf>
    <xf numFmtId="0" fontId="7" fillId="0" borderId="0" xfId="15" applyFont="1" applyFill="1" applyAlignment="1">
      <alignment horizontal="left" wrapText="1"/>
    </xf>
    <xf numFmtId="0" fontId="7" fillId="0" borderId="10" xfId="15" applyFont="1" applyFill="1" applyBorder="1" applyAlignment="1">
      <alignment horizontal="left" wrapText="1"/>
    </xf>
    <xf numFmtId="49" fontId="7" fillId="2" borderId="10" xfId="15" applyNumberFormat="1" applyFont="1" applyBorder="1" applyAlignment="1">
      <alignment horizontal="center"/>
    </xf>
    <xf numFmtId="0" fontId="7" fillId="2" borderId="10" xfId="14" applyFont="1" applyBorder="1" applyAlignment="1">
      <alignment horizontal="center"/>
    </xf>
    <xf numFmtId="37" fontId="14" fillId="0" borderId="0" xfId="15" applyNumberFormat="1" applyFont="1" applyFill="1" applyAlignment="1">
      <alignment horizontal="left" vertical="top"/>
    </xf>
    <xf numFmtId="37" fontId="15" fillId="0" borderId="7" xfId="15" applyNumberFormat="1" applyFont="1" applyFill="1" applyBorder="1" applyAlignment="1">
      <alignment horizontal="center"/>
    </xf>
    <xf numFmtId="0" fontId="0" fillId="0" borderId="7" xfId="0" applyBorder="1" applyAlignment="1">
      <alignment horizontal="center"/>
    </xf>
    <xf numFmtId="37" fontId="14" fillId="2" borderId="38" xfId="15" applyNumberFormat="1" applyFont="1" applyBorder="1" applyAlignment="1">
      <alignment horizontal="center"/>
    </xf>
    <xf numFmtId="0" fontId="0" fillId="0" borderId="23" xfId="0" applyBorder="1"/>
    <xf numFmtId="0" fontId="92" fillId="0" borderId="0" xfId="15" applyFont="1" applyFill="1" applyAlignment="1">
      <alignment horizontal="center" vertical="center" wrapText="1"/>
    </xf>
    <xf numFmtId="0" fontId="16" fillId="0" borderId="38" xfId="15" applyFont="1" applyFill="1" applyBorder="1" applyAlignment="1">
      <alignment horizontal="center"/>
    </xf>
    <xf numFmtId="0" fontId="16" fillId="0" borderId="37" xfId="15" applyFont="1" applyFill="1" applyBorder="1" applyAlignment="1">
      <alignment horizontal="center"/>
    </xf>
    <xf numFmtId="37" fontId="14" fillId="2" borderId="23" xfId="15" applyNumberFormat="1" applyFont="1" applyBorder="1" applyAlignment="1">
      <alignment horizontal="center"/>
    </xf>
    <xf numFmtId="37" fontId="14" fillId="2" borderId="99" xfId="15" applyNumberFormat="1" applyFont="1" applyBorder="1" applyAlignment="1">
      <alignment horizontal="center"/>
    </xf>
    <xf numFmtId="37" fontId="14" fillId="2" borderId="42" xfId="15" applyNumberFormat="1" applyFont="1" applyBorder="1" applyAlignment="1">
      <alignment horizontal="center"/>
    </xf>
    <xf numFmtId="37" fontId="14" fillId="0" borderId="22" xfId="15" applyNumberFormat="1" applyFont="1" applyFill="1" applyBorder="1" applyAlignment="1">
      <alignment horizontal="center"/>
    </xf>
    <xf numFmtId="37" fontId="14" fillId="0" borderId="7" xfId="15" applyNumberFormat="1" applyFont="1" applyFill="1" applyBorder="1" applyAlignment="1">
      <alignment horizontal="center"/>
    </xf>
    <xf numFmtId="37" fontId="14" fillId="0" borderId="19" xfId="15" applyNumberFormat="1" applyFont="1" applyFill="1" applyBorder="1" applyAlignment="1">
      <alignment horizontal="center"/>
    </xf>
    <xf numFmtId="0" fontId="16" fillId="0" borderId="38" xfId="0" applyFont="1" applyBorder="1" applyAlignment="1">
      <alignment horizontal="center"/>
    </xf>
    <xf numFmtId="0" fontId="16" fillId="0" borderId="37" xfId="0" applyFont="1" applyBorder="1" applyAlignment="1">
      <alignment horizontal="center"/>
    </xf>
    <xf numFmtId="0" fontId="16" fillId="0" borderId="23" xfId="0" applyFont="1" applyBorder="1" applyAlignment="1">
      <alignment horizontal="center"/>
    </xf>
    <xf numFmtId="37" fontId="14" fillId="2" borderId="29" xfId="15" applyNumberFormat="1" applyFont="1" applyBorder="1" applyAlignment="1">
      <alignment horizontal="center"/>
    </xf>
    <xf numFmtId="37" fontId="14" fillId="2" borderId="2" xfId="15" applyNumberFormat="1" applyFont="1" applyBorder="1" applyAlignment="1">
      <alignment horizontal="center"/>
    </xf>
    <xf numFmtId="0" fontId="93" fillId="2" borderId="0" xfId="14" applyFont="1" applyAlignment="1">
      <alignment horizontal="left" vertical="top" wrapText="1"/>
    </xf>
    <xf numFmtId="37" fontId="5" fillId="0" borderId="10" xfId="0" applyNumberFormat="1" applyFont="1" applyBorder="1" applyAlignment="1">
      <alignment horizontal="left"/>
    </xf>
    <xf numFmtId="0" fontId="5" fillId="0" borderId="0" xfId="0" applyFont="1" applyAlignment="1">
      <alignment horizontal="right"/>
    </xf>
    <xf numFmtId="0" fontId="9" fillId="0" borderId="0" xfId="0" applyFont="1" applyAlignment="1">
      <alignment horizontal="justify" vertical="top" wrapText="1"/>
    </xf>
    <xf numFmtId="0" fontId="0" fillId="0" borderId="0" xfId="0" applyAlignment="1">
      <alignment horizontal="justify" vertical="top" wrapText="1"/>
    </xf>
    <xf numFmtId="0" fontId="0" fillId="0" borderId="0" xfId="0" applyAlignment="1">
      <alignment horizontal="justify" wrapText="1"/>
    </xf>
    <xf numFmtId="0" fontId="11" fillId="0" borderId="0" xfId="0" applyFont="1" applyAlignment="1">
      <alignment horizontal="center" wrapText="1"/>
    </xf>
    <xf numFmtId="0" fontId="9" fillId="0" borderId="0" xfId="0" applyFont="1" applyAlignment="1">
      <alignment vertical="top" wrapText="1"/>
    </xf>
    <xf numFmtId="0" fontId="9" fillId="0" borderId="0" xfId="0" applyFont="1" applyAlignment="1">
      <alignment wrapText="1"/>
    </xf>
    <xf numFmtId="0" fontId="9" fillId="0" borderId="0" xfId="0" applyFont="1" applyAlignment="1">
      <alignment horizontal="left" wrapText="1"/>
    </xf>
    <xf numFmtId="0" fontId="9" fillId="0" borderId="0" xfId="0" applyFont="1" applyAlignment="1">
      <alignment horizontal="left" vertical="top"/>
    </xf>
    <xf numFmtId="0" fontId="46" fillId="0" borderId="0" xfId="8" applyFont="1" applyAlignment="1" applyProtection="1">
      <alignment horizontal="left" vertical="top" wrapText="1"/>
    </xf>
    <xf numFmtId="177" fontId="102" fillId="0" borderId="9" xfId="12" applyFont="1" applyFill="1" applyBorder="1" applyAlignment="1">
      <alignment horizontal="center" wrapText="1"/>
    </xf>
    <xf numFmtId="177" fontId="10" fillId="0" borderId="0" xfId="12" quotePrefix="1" applyFont="1" applyFill="1" applyAlignment="1">
      <alignment horizontal="left"/>
    </xf>
    <xf numFmtId="37" fontId="5" fillId="0" borderId="46" xfId="12" applyNumberFormat="1" applyFont="1" applyFill="1" applyBorder="1" applyAlignment="1" applyProtection="1">
      <alignment horizontal="left" vertical="top" wrapText="1"/>
      <protection locked="0"/>
    </xf>
    <xf numFmtId="37" fontId="5" fillId="0" borderId="20" xfId="12" applyNumberFormat="1" applyFont="1" applyFill="1" applyBorder="1" applyAlignment="1" applyProtection="1">
      <alignment horizontal="left" vertical="top" wrapText="1"/>
      <protection locked="0"/>
    </xf>
    <xf numFmtId="37" fontId="5" fillId="0" borderId="35" xfId="12" applyNumberFormat="1" applyFont="1" applyFill="1" applyBorder="1" applyAlignment="1" applyProtection="1">
      <alignment horizontal="left" vertical="top" wrapText="1"/>
      <protection locked="0"/>
    </xf>
    <xf numFmtId="37" fontId="5" fillId="0" borderId="29" xfId="12" applyNumberFormat="1" applyFont="1" applyFill="1" applyBorder="1" applyAlignment="1" applyProtection="1">
      <alignment horizontal="left" vertical="top" wrapText="1"/>
      <protection locked="0"/>
    </xf>
    <xf numFmtId="37" fontId="5" fillId="0" borderId="0" xfId="12" applyNumberFormat="1" applyFont="1" applyFill="1" applyAlignment="1" applyProtection="1">
      <alignment horizontal="left" vertical="top" wrapText="1"/>
      <protection locked="0"/>
    </xf>
    <xf numFmtId="37" fontId="5" fillId="0" borderId="49" xfId="12" applyNumberFormat="1" applyFont="1" applyFill="1" applyBorder="1" applyAlignment="1" applyProtection="1">
      <alignment horizontal="left" vertical="top" wrapText="1"/>
      <protection locked="0"/>
    </xf>
    <xf numFmtId="37" fontId="5" fillId="0" borderId="51" xfId="12" applyNumberFormat="1" applyFont="1" applyFill="1" applyBorder="1" applyAlignment="1" applyProtection="1">
      <alignment horizontal="left" vertical="top" wrapText="1"/>
      <protection locked="0"/>
    </xf>
    <xf numFmtId="37" fontId="5" fillId="0" borderId="10" xfId="12" applyNumberFormat="1" applyFont="1" applyFill="1" applyBorder="1" applyAlignment="1" applyProtection="1">
      <alignment horizontal="left" vertical="top" wrapText="1"/>
      <protection locked="0"/>
    </xf>
    <xf numFmtId="37" fontId="5" fillId="0" borderId="52" xfId="12" applyNumberFormat="1" applyFont="1" applyFill="1" applyBorder="1" applyAlignment="1" applyProtection="1">
      <alignment horizontal="left" vertical="top" wrapText="1"/>
      <protection locked="0"/>
    </xf>
    <xf numFmtId="177" fontId="102" fillId="0" borderId="22" xfId="12" applyFont="1" applyFill="1" applyBorder="1" applyAlignment="1">
      <alignment horizontal="center" wrapText="1"/>
    </xf>
    <xf numFmtId="177" fontId="102" fillId="0" borderId="7" xfId="12" applyFont="1" applyFill="1" applyBorder="1" applyAlignment="1">
      <alignment horizontal="center" wrapText="1"/>
    </xf>
    <xf numFmtId="177" fontId="102" fillId="0" borderId="106" xfId="12" applyFont="1" applyFill="1" applyBorder="1" applyAlignment="1">
      <alignment horizontal="center" wrapText="1"/>
    </xf>
    <xf numFmtId="177" fontId="102" fillId="0" borderId="107" xfId="12" applyFont="1" applyFill="1" applyBorder="1" applyAlignment="1">
      <alignment horizontal="center" wrapText="1"/>
    </xf>
    <xf numFmtId="177" fontId="102" fillId="0" borderId="24" xfId="12" applyFont="1" applyFill="1" applyBorder="1" applyAlignment="1">
      <alignment horizontal="center" wrapText="1"/>
    </xf>
    <xf numFmtId="177" fontId="102" fillId="0" borderId="17" xfId="12" applyFont="1" applyFill="1" applyBorder="1" applyAlignment="1">
      <alignment horizontal="center" wrapText="1"/>
    </xf>
    <xf numFmtId="37" fontId="64" fillId="0" borderId="10" xfId="22" applyNumberFormat="1" applyFont="1" applyBorder="1" applyAlignment="1">
      <alignment horizontal="right" vertical="center"/>
    </xf>
    <xf numFmtId="37" fontId="89" fillId="0" borderId="10" xfId="22" applyNumberFormat="1" applyFont="1" applyBorder="1" applyAlignment="1">
      <alignment horizontal="right"/>
    </xf>
    <xf numFmtId="37" fontId="10" fillId="0" borderId="0" xfId="22" applyNumberFormat="1" applyFont="1" applyAlignment="1">
      <alignment horizontal="left" vertical="center" wrapText="1"/>
    </xf>
    <xf numFmtId="177" fontId="38" fillId="5" borderId="0" xfId="8" applyNumberFormat="1" applyFont="1" applyFill="1" applyAlignment="1">
      <alignment horizontal="center"/>
      <protection locked="0"/>
    </xf>
    <xf numFmtId="177" fontId="38" fillId="5" borderId="49" xfId="8" applyNumberFormat="1" applyFont="1" applyFill="1" applyBorder="1" applyAlignment="1">
      <alignment horizontal="center"/>
      <protection locked="0"/>
    </xf>
    <xf numFmtId="177" fontId="10" fillId="0" borderId="22" xfId="12" applyFont="1" applyFill="1" applyBorder="1" applyAlignment="1">
      <alignment horizontal="center"/>
    </xf>
    <xf numFmtId="177" fontId="10" fillId="0" borderId="7" xfId="12" applyFont="1" applyFill="1" applyBorder="1" applyAlignment="1">
      <alignment horizontal="center"/>
    </xf>
    <xf numFmtId="177" fontId="10" fillId="0" borderId="19" xfId="12" applyFont="1" applyFill="1" applyBorder="1" applyAlignment="1">
      <alignment horizontal="center"/>
    </xf>
    <xf numFmtId="0" fontId="9" fillId="0" borderId="19" xfId="0" applyFont="1" applyBorder="1" applyAlignment="1">
      <alignment horizontal="left"/>
    </xf>
    <xf numFmtId="0" fontId="56" fillId="0" borderId="9" xfId="0" applyFont="1" applyBorder="1" applyAlignment="1">
      <alignment horizontal="left"/>
    </xf>
    <xf numFmtId="0" fontId="9" fillId="0" borderId="10" xfId="0" applyFont="1" applyBorder="1" applyAlignment="1">
      <alignment horizontal="left" vertical="center" wrapText="1"/>
    </xf>
    <xf numFmtId="0" fontId="93" fillId="0" borderId="29" xfId="13" applyFont="1" applyFill="1" applyBorder="1" applyAlignment="1">
      <alignment horizontal="left" vertical="top" wrapText="1"/>
    </xf>
    <xf numFmtId="0" fontId="93" fillId="0" borderId="0" xfId="13" applyFont="1" applyFill="1" applyAlignment="1">
      <alignment horizontal="left" vertical="top" wrapText="1"/>
    </xf>
    <xf numFmtId="0" fontId="46" fillId="5" borderId="0" xfId="8" applyFont="1" applyFill="1" applyProtection="1"/>
    <xf numFmtId="0" fontId="9" fillId="3" borderId="22" xfId="0" applyFont="1" applyFill="1" applyBorder="1" applyAlignment="1">
      <alignment horizontal="left" vertical="top" wrapText="1"/>
    </xf>
    <xf numFmtId="0" fontId="9" fillId="3" borderId="7" xfId="0" applyFont="1" applyFill="1" applyBorder="1" applyAlignment="1">
      <alignment horizontal="left" vertical="top" wrapText="1"/>
    </xf>
    <xf numFmtId="0" fontId="80" fillId="0" borderId="29" xfId="0" applyFont="1" applyBorder="1" applyAlignment="1">
      <alignment horizontal="center" vertical="center" wrapText="1"/>
    </xf>
    <xf numFmtId="0" fontId="80" fillId="0" borderId="0" xfId="0" applyFont="1" applyAlignment="1">
      <alignment horizontal="center" vertical="center" wrapText="1"/>
    </xf>
    <xf numFmtId="0" fontId="9" fillId="0" borderId="22" xfId="0" applyFont="1" applyBorder="1" applyAlignment="1">
      <alignment horizontal="left" vertical="top" wrapText="1"/>
    </xf>
    <xf numFmtId="0" fontId="9" fillId="0" borderId="7" xfId="0" applyFont="1" applyBorder="1" applyAlignment="1">
      <alignment horizontal="left" vertical="top" wrapText="1"/>
    </xf>
    <xf numFmtId="0" fontId="94" fillId="0" borderId="0" xfId="0" applyFont="1" applyAlignment="1">
      <alignment horizontal="center" vertical="center" wrapText="1"/>
    </xf>
    <xf numFmtId="0" fontId="9" fillId="3" borderId="0" xfId="0" applyFont="1" applyFill="1" applyAlignment="1">
      <alignment horizontal="left" vertical="top" wrapText="1"/>
    </xf>
    <xf numFmtId="0" fontId="9" fillId="3" borderId="10" xfId="0" applyFont="1" applyFill="1" applyBorder="1" applyAlignment="1">
      <alignment horizontal="left" vertical="top" wrapText="1"/>
    </xf>
    <xf numFmtId="0" fontId="9" fillId="0" borderId="0" xfId="21" applyFont="1" applyFill="1" applyAlignment="1">
      <alignment horizontal="left" vertical="top"/>
    </xf>
    <xf numFmtId="0" fontId="9" fillId="0" borderId="19" xfId="0" applyFont="1" applyBorder="1" applyAlignment="1">
      <alignment horizontal="left" vertical="top" wrapText="1"/>
    </xf>
    <xf numFmtId="0" fontId="63" fillId="0" borderId="9" xfId="0" applyFont="1" applyBorder="1" applyAlignment="1">
      <alignment horizontal="left"/>
    </xf>
    <xf numFmtId="0" fontId="9" fillId="13" borderId="22" xfId="0" applyFont="1" applyFill="1" applyBorder="1" applyAlignment="1">
      <alignment horizontal="left"/>
    </xf>
    <xf numFmtId="0" fontId="9" fillId="13" borderId="7" xfId="0" applyFont="1" applyFill="1" applyBorder="1" applyAlignment="1">
      <alignment horizontal="left"/>
    </xf>
    <xf numFmtId="0" fontId="9" fillId="13" borderId="19" xfId="0" applyFont="1" applyFill="1" applyBorder="1" applyAlignment="1">
      <alignment horizontal="left"/>
    </xf>
    <xf numFmtId="0" fontId="9" fillId="0" borderId="22" xfId="0" applyFont="1" applyBorder="1" applyAlignment="1">
      <alignment horizontal="left" vertical="top"/>
    </xf>
    <xf numFmtId="0" fontId="9" fillId="0" borderId="7" xfId="0" applyFont="1" applyBorder="1" applyAlignment="1">
      <alignment horizontal="left" vertical="top"/>
    </xf>
    <xf numFmtId="0" fontId="11" fillId="0" borderId="10" xfId="0" applyFont="1" applyBorder="1" applyAlignment="1">
      <alignment horizontal="left"/>
    </xf>
    <xf numFmtId="0" fontId="9" fillId="0" borderId="61" xfId="0" applyFont="1" applyBorder="1" applyAlignment="1">
      <alignment horizontal="left"/>
    </xf>
    <xf numFmtId="0" fontId="95" fillId="0" borderId="29" xfId="0" applyFont="1" applyBorder="1" applyAlignment="1">
      <alignment horizontal="left" vertical="top"/>
    </xf>
    <xf numFmtId="0" fontId="95" fillId="0" borderId="0" xfId="0" applyFont="1" applyBorder="1" applyAlignment="1">
      <alignment horizontal="left" vertical="top"/>
    </xf>
    <xf numFmtId="0" fontId="95" fillId="0" borderId="61" xfId="0" applyFont="1" applyBorder="1" applyAlignment="1">
      <alignment horizontal="center" vertical="center" wrapText="1"/>
    </xf>
    <xf numFmtId="0" fontId="95" fillId="0" borderId="0" xfId="0" applyFont="1" applyBorder="1" applyAlignment="1">
      <alignment horizontal="center" vertical="center" wrapText="1"/>
    </xf>
    <xf numFmtId="0" fontId="9" fillId="0" borderId="0" xfId="0" applyFont="1" applyAlignment="1">
      <alignment horizontal="right" wrapText="1"/>
    </xf>
    <xf numFmtId="0" fontId="9" fillId="0" borderId="49" xfId="0" applyFont="1" applyBorder="1" applyAlignment="1">
      <alignment horizontal="right" wrapText="1"/>
    </xf>
    <xf numFmtId="0" fontId="9" fillId="9" borderId="0" xfId="0" applyFont="1" applyFill="1" applyAlignment="1">
      <alignment horizontal="left" vertical="center" wrapText="1"/>
    </xf>
    <xf numFmtId="0" fontId="9" fillId="9" borderId="74" xfId="0" applyFont="1" applyFill="1" applyBorder="1" applyAlignment="1">
      <alignment horizontal="left" vertical="center" wrapText="1"/>
    </xf>
    <xf numFmtId="0" fontId="11" fillId="0" borderId="0" xfId="0" applyFont="1" applyAlignment="1">
      <alignment horizontal="right"/>
    </xf>
    <xf numFmtId="49" fontId="11" fillId="0" borderId="10" xfId="0" applyNumberFormat="1" applyFont="1" applyBorder="1" applyAlignment="1">
      <alignment horizontal="left"/>
    </xf>
    <xf numFmtId="0" fontId="9" fillId="9" borderId="0" xfId="0" applyFont="1" applyFill="1" applyBorder="1" applyAlignment="1">
      <alignment horizontal="left" wrapText="1"/>
    </xf>
    <xf numFmtId="0" fontId="9" fillId="9" borderId="0" xfId="0" applyFont="1" applyFill="1" applyAlignment="1">
      <alignment horizontal="left" wrapText="1"/>
    </xf>
    <xf numFmtId="0" fontId="9" fillId="13" borderId="22" xfId="0" applyFont="1" applyFill="1" applyBorder="1" applyAlignment="1">
      <alignment horizontal="left" wrapText="1"/>
    </xf>
    <xf numFmtId="0" fontId="9" fillId="13" borderId="7" xfId="0" applyFont="1" applyFill="1" applyBorder="1" applyAlignment="1">
      <alignment horizontal="left" wrapText="1"/>
    </xf>
    <xf numFmtId="0" fontId="9" fillId="13" borderId="19" xfId="0" applyFont="1" applyFill="1" applyBorder="1" applyAlignment="1">
      <alignment horizontal="left" wrapText="1"/>
    </xf>
    <xf numFmtId="0" fontId="9" fillId="0" borderId="4" xfId="8" quotePrefix="1" applyFont="1" applyFill="1" applyBorder="1">
      <protection locked="0"/>
    </xf>
    <xf numFmtId="0" fontId="46" fillId="5" borderId="0" xfId="8" applyFont="1" applyFill="1" applyAlignment="1" applyProtection="1">
      <alignment horizontal="center"/>
    </xf>
    <xf numFmtId="0" fontId="9" fillId="0" borderId="9" xfId="0" applyFont="1" applyBorder="1" applyAlignment="1" applyProtection="1">
      <alignment horizontal="left" vertical="center"/>
      <protection locked="0"/>
    </xf>
    <xf numFmtId="0" fontId="9" fillId="0" borderId="22" xfId="0" applyFont="1" applyBorder="1" applyAlignment="1" applyProtection="1">
      <alignment horizontal="left"/>
      <protection locked="0"/>
    </xf>
    <xf numFmtId="0" fontId="9" fillId="0" borderId="19" xfId="0" applyFont="1" applyBorder="1" applyAlignment="1" applyProtection="1">
      <alignment horizontal="left"/>
      <protection locked="0"/>
    </xf>
    <xf numFmtId="0" fontId="9" fillId="0" borderId="22" xfId="0" applyFont="1" applyBorder="1" applyAlignment="1">
      <alignment horizontal="center"/>
    </xf>
    <xf numFmtId="0" fontId="9" fillId="0" borderId="19" xfId="0" applyFont="1" applyBorder="1" applyAlignment="1">
      <alignment horizontal="center"/>
    </xf>
    <xf numFmtId="0" fontId="11" fillId="0" borderId="0" xfId="0" applyFont="1" applyAlignment="1">
      <alignment horizontal="left"/>
    </xf>
    <xf numFmtId="0" fontId="11" fillId="0" borderId="0" xfId="0" applyFont="1" applyAlignment="1">
      <alignment horizontal="left" wrapText="1"/>
    </xf>
    <xf numFmtId="0" fontId="52" fillId="0" borderId="0" xfId="0" applyFont="1" applyAlignment="1">
      <alignment horizontal="left" wrapText="1"/>
    </xf>
    <xf numFmtId="49" fontId="11" fillId="0" borderId="51" xfId="0" applyNumberFormat="1" applyFont="1" applyBorder="1" applyAlignment="1">
      <alignment horizontal="center"/>
    </xf>
    <xf numFmtId="49" fontId="11" fillId="0" borderId="10" xfId="0" applyNumberFormat="1" applyFont="1" applyBorder="1" applyAlignment="1">
      <alignment horizontal="center"/>
    </xf>
    <xf numFmtId="0" fontId="9" fillId="0" borderId="46" xfId="0" applyFont="1" applyBorder="1" applyAlignment="1">
      <alignment horizontal="center"/>
    </xf>
    <xf numFmtId="0" fontId="9" fillId="0" borderId="35" xfId="0" applyFont="1" applyBorder="1" applyAlignment="1">
      <alignment horizontal="center"/>
    </xf>
    <xf numFmtId="178" fontId="9" fillId="0" borderId="65" xfId="0" applyNumberFormat="1" applyFont="1" applyBorder="1" applyAlignment="1">
      <alignment horizontal="right"/>
    </xf>
    <xf numFmtId="178" fontId="9" fillId="0" borderId="66" xfId="0" applyNumberFormat="1" applyFont="1" applyBorder="1" applyAlignment="1">
      <alignment horizontal="right"/>
    </xf>
    <xf numFmtId="0" fontId="9" fillId="0" borderId="29" xfId="0" applyFont="1" applyBorder="1" applyAlignment="1">
      <alignment horizontal="right"/>
    </xf>
    <xf numFmtId="0" fontId="9" fillId="0" borderId="49" xfId="0" applyFont="1" applyBorder="1" applyAlignment="1">
      <alignment horizontal="right"/>
    </xf>
    <xf numFmtId="188" fontId="9" fillId="0" borderId="51" xfId="0" applyNumberFormat="1" applyFont="1" applyBorder="1" applyAlignment="1">
      <alignment horizontal="right"/>
    </xf>
    <xf numFmtId="188" fontId="9" fillId="0" borderId="52" xfId="0" applyNumberFormat="1" applyFont="1" applyBorder="1" applyAlignment="1">
      <alignment horizontal="right"/>
    </xf>
    <xf numFmtId="169" fontId="9" fillId="0" borderId="63" xfId="0" applyNumberFormat="1" applyFont="1" applyBorder="1" applyAlignment="1">
      <alignment horizontal="right"/>
    </xf>
    <xf numFmtId="169" fontId="9" fillId="0" borderId="66" xfId="0" applyNumberFormat="1" applyFont="1" applyBorder="1" applyAlignment="1">
      <alignment horizontal="right"/>
    </xf>
    <xf numFmtId="166" fontId="9" fillId="0" borderId="51" xfId="0" applyNumberFormat="1" applyFont="1" applyBorder="1" applyAlignment="1">
      <alignment horizontal="right"/>
    </xf>
    <xf numFmtId="166" fontId="9" fillId="0" borderId="52" xfId="0" applyNumberFormat="1" applyFont="1" applyBorder="1" applyAlignment="1">
      <alignment horizontal="right"/>
    </xf>
    <xf numFmtId="0" fontId="74" fillId="0" borderId="0" xfId="0" applyFont="1" applyAlignment="1">
      <alignment horizontal="center"/>
    </xf>
    <xf numFmtId="49" fontId="11" fillId="0" borderId="46" xfId="0" applyNumberFormat="1" applyFont="1" applyBorder="1" applyAlignment="1">
      <alignment horizontal="center" wrapText="1"/>
    </xf>
    <xf numFmtId="49" fontId="11" fillId="0" borderId="35" xfId="0" applyNumberFormat="1" applyFont="1" applyBorder="1" applyAlignment="1">
      <alignment horizontal="center" wrapText="1"/>
    </xf>
    <xf numFmtId="49" fontId="11" fillId="0" borderId="29" xfId="0" applyNumberFormat="1" applyFont="1" applyBorder="1" applyAlignment="1">
      <alignment horizontal="center" wrapText="1"/>
    </xf>
    <xf numFmtId="49" fontId="11" fillId="0" borderId="49" xfId="0" applyNumberFormat="1" applyFont="1" applyBorder="1" applyAlignment="1">
      <alignment horizontal="center" wrapText="1"/>
    </xf>
    <xf numFmtId="174" fontId="9" fillId="0" borderId="51" xfId="0" applyNumberFormat="1" applyFont="1" applyBorder="1" applyAlignment="1">
      <alignment horizontal="right"/>
    </xf>
    <xf numFmtId="174" fontId="9" fillId="0" borderId="52" xfId="0" applyNumberFormat="1" applyFont="1" applyBorder="1" applyAlignment="1">
      <alignment horizontal="right"/>
    </xf>
    <xf numFmtId="49" fontId="11" fillId="0" borderId="20" xfId="0" applyNumberFormat="1" applyFont="1" applyBorder="1" applyAlignment="1">
      <alignment horizontal="center" wrapText="1"/>
    </xf>
    <xf numFmtId="49" fontId="11" fillId="0" borderId="0" xfId="0" applyNumberFormat="1" applyFont="1" applyAlignment="1">
      <alignment horizontal="center" wrapText="1"/>
    </xf>
    <xf numFmtId="188" fontId="9" fillId="0" borderId="22" xfId="0" applyNumberFormat="1" applyFont="1" applyBorder="1" applyAlignment="1">
      <alignment horizontal="right"/>
    </xf>
    <xf numFmtId="188" fontId="9" fillId="0" borderId="19" xfId="0" applyNumberFormat="1" applyFont="1" applyBorder="1" applyAlignment="1">
      <alignment horizontal="right"/>
    </xf>
    <xf numFmtId="0" fontId="52" fillId="0" borderId="0" xfId="0" applyFont="1" applyAlignment="1">
      <alignment horizontal="left" vertical="top" wrapText="1"/>
    </xf>
    <xf numFmtId="0" fontId="9" fillId="10" borderId="0" xfId="0" applyFont="1" applyFill="1" applyAlignment="1">
      <alignment horizontal="right"/>
    </xf>
    <xf numFmtId="0" fontId="9" fillId="10" borderId="49" xfId="0" applyFont="1" applyFill="1" applyBorder="1" applyAlignment="1">
      <alignment horizontal="right"/>
    </xf>
    <xf numFmtId="174" fontId="9" fillId="0" borderId="65" xfId="0" applyNumberFormat="1" applyFont="1" applyBorder="1" applyAlignment="1">
      <alignment horizontal="right"/>
    </xf>
    <xf numFmtId="174" fontId="9" fillId="0" borderId="66" xfId="0" applyNumberFormat="1" applyFont="1" applyBorder="1" applyAlignment="1">
      <alignment horizontal="right"/>
    </xf>
    <xf numFmtId="169" fontId="9" fillId="10" borderId="63" xfId="0" applyNumberFormat="1" applyFont="1" applyFill="1" applyBorder="1" applyAlignment="1">
      <alignment horizontal="right"/>
    </xf>
    <xf numFmtId="169" fontId="9" fillId="10" borderId="66" xfId="0" applyNumberFormat="1" applyFont="1" applyFill="1" applyBorder="1" applyAlignment="1">
      <alignment horizontal="right"/>
    </xf>
    <xf numFmtId="0" fontId="52" fillId="0" borderId="0" xfId="0" applyFont="1" applyAlignment="1">
      <alignment horizontal="left"/>
    </xf>
    <xf numFmtId="0" fontId="40" fillId="0" borderId="24" xfId="0" applyFont="1" applyBorder="1" applyAlignment="1">
      <alignment horizontal="center" vertical="top" wrapText="1"/>
    </xf>
    <xf numFmtId="0" fontId="40" fillId="0" borderId="17" xfId="0" applyFont="1" applyBorder="1" applyAlignment="1">
      <alignment horizontal="center" vertical="top" wrapText="1"/>
    </xf>
    <xf numFmtId="0" fontId="123" fillId="0" borderId="24" xfId="8" applyFont="1" applyBorder="1" applyAlignment="1">
      <alignment horizontal="center" vertical="top"/>
      <protection locked="0"/>
    </xf>
    <xf numFmtId="0" fontId="123" fillId="0" borderId="17" xfId="8" applyFont="1" applyBorder="1" applyAlignment="1">
      <alignment horizontal="center" vertical="top"/>
      <protection locked="0"/>
    </xf>
    <xf numFmtId="0" fontId="40" fillId="0" borderId="24" xfId="0" applyFont="1" applyBorder="1" applyAlignment="1">
      <alignment vertical="top" wrapText="1"/>
    </xf>
    <xf numFmtId="0" fontId="40" fillId="0" borderId="17" xfId="0" applyFont="1" applyBorder="1" applyAlignment="1">
      <alignment vertical="top" wrapText="1"/>
    </xf>
    <xf numFmtId="0" fontId="40" fillId="0" borderId="24" xfId="0" applyFont="1" applyBorder="1" applyAlignment="1">
      <alignment horizontal="left" vertical="top" wrapText="1"/>
    </xf>
    <xf numFmtId="0" fontId="40" fillId="0" borderId="17" xfId="0" applyFont="1" applyBorder="1" applyAlignment="1">
      <alignment horizontal="left" vertical="top" wrapText="1"/>
    </xf>
    <xf numFmtId="0" fontId="40" fillId="0" borderId="24" xfId="0" applyFont="1" applyBorder="1" applyAlignment="1">
      <alignment horizontal="center" vertical="center" wrapText="1"/>
    </xf>
    <xf numFmtId="0" fontId="40" fillId="0" borderId="17" xfId="0" applyFont="1" applyBorder="1" applyAlignment="1">
      <alignment horizontal="center" vertical="center" wrapText="1"/>
    </xf>
  </cellXfs>
  <cellStyles count="31">
    <cellStyle name="Comma" xfId="4" xr:uid="{00000000-0005-0000-0000-000004000000}"/>
    <cellStyle name="Comma [0]" xfId="5" xr:uid="{00000000-0005-0000-0000-000005000000}"/>
    <cellStyle name="Comma 2" xfId="23" xr:uid="{00000000-0005-0000-0000-000017000000}"/>
    <cellStyle name="Currency" xfId="2" xr:uid="{00000000-0005-0000-0000-000002000000}"/>
    <cellStyle name="Currency [0]" xfId="3" xr:uid="{00000000-0005-0000-0000-000003000000}"/>
    <cellStyle name="Currency 2" xfId="24" xr:uid="{00000000-0005-0000-0000-000018000000}"/>
    <cellStyle name="Currency 3" xfId="25" xr:uid="{00000000-0005-0000-0000-000019000000}"/>
    <cellStyle name="Followed Hyperlink 2" xfId="6" xr:uid="{00000000-0005-0000-0000-000006000000}"/>
    <cellStyle name="Followed Hyperlink 3" xfId="7" xr:uid="{00000000-0005-0000-0000-000007000000}"/>
    <cellStyle name="Hyperlink" xfId="8" xr:uid="{00000000-0005-0000-0000-000008000000}"/>
    <cellStyle name="Hyperlink 2" xfId="9" xr:uid="{00000000-0005-0000-0000-000009000000}"/>
    <cellStyle name="Hyperlink 3" xfId="10" xr:uid="{00000000-0005-0000-0000-00000A000000}"/>
    <cellStyle name="Hyperlink 3 2" xfId="26" xr:uid="{00000000-0005-0000-0000-00001A000000}"/>
    <cellStyle name="Hyperlink 4" xfId="27" xr:uid="{00000000-0005-0000-0000-00001B000000}"/>
    <cellStyle name="Normal" xfId="0" builtinId="0"/>
    <cellStyle name="Normal 2" xfId="11" xr:uid="{00000000-0005-0000-0000-00000B000000}"/>
    <cellStyle name="Normal 2 2" xfId="29" xr:uid="{00000000-0005-0000-0000-00001D000000}"/>
    <cellStyle name="Normal 2 3" xfId="28" xr:uid="{00000000-0005-0000-0000-00001C000000}"/>
    <cellStyle name="Normal 2 3 2" xfId="30" xr:uid="{C7BC2F5D-7E04-4F55-ADCB-881C79614AA5}"/>
    <cellStyle name="Normal 3" xfId="12" xr:uid="{00000000-0005-0000-0000-00000C000000}"/>
    <cellStyle name="Normal 3 2" xfId="22" xr:uid="{00000000-0005-0000-0000-000016000000}"/>
    <cellStyle name="Normal_98-99Smry" xfId="13" xr:uid="{00000000-0005-0000-0000-00000D000000}"/>
    <cellStyle name="Normal_Summary Page 1" xfId="14" xr:uid="{00000000-0005-0000-0000-00000E000000}"/>
    <cellStyle name="Normal_Summary Page 2" xfId="15" xr:uid="{00000000-0005-0000-0000-00000F000000}"/>
    <cellStyle name="Normal_Worksheet A.1" xfId="16" xr:uid="{00000000-0005-0000-0000-000010000000}"/>
    <cellStyle name="Normal_Worksheet B" xfId="17" xr:uid="{00000000-0005-0000-0000-000011000000}"/>
    <cellStyle name="Normal_Worksheet C" xfId="18" xr:uid="{00000000-0005-0000-0000-000012000000}"/>
    <cellStyle name="Normal_Worksheet J" xfId="19" xr:uid="{00000000-0005-0000-0000-000013000000}"/>
    <cellStyle name="Normal_Worksheet K" xfId="20" xr:uid="{00000000-0005-0000-0000-000014000000}"/>
    <cellStyle name="Normal_Worksheet N" xfId="21" xr:uid="{00000000-0005-0000-0000-000015000000}"/>
    <cellStyle name="Percent" xfId="1" xr:uid="{00000000-0005-0000-0000-000001000000}"/>
  </cellStyles>
  <dxfs count="33">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b/>
        <i val="0"/>
        <color rgb="FFFF0000"/>
        <name val="Cambria"/>
        <family val="1"/>
      </font>
    </dxf>
    <dxf>
      <font>
        <b/>
        <i val="0"/>
        <color rgb="FFFF0000"/>
        <name val="Cambria"/>
        <family val="1"/>
      </font>
    </dxf>
    <dxf>
      <fill>
        <patternFill>
          <bgColor rgb="FFFFC000"/>
        </patternFill>
      </fill>
    </dxf>
    <dxf>
      <font>
        <color rgb="FFFF0000"/>
      </font>
    </dxf>
    <dxf>
      <font>
        <color rgb="FFFF0000"/>
      </font>
    </dxf>
    <dxf>
      <font>
        <color rgb="FFFF0000"/>
      </font>
    </dxf>
    <dxf>
      <fill>
        <patternFill>
          <bgColor rgb="FFFFC000"/>
        </patternFill>
      </fill>
    </dxf>
    <dxf>
      <fill>
        <patternFill>
          <bgColor rgb="FFFFC000"/>
        </patternFill>
      </fill>
    </dxf>
    <dxf>
      <font>
        <color rgb="FFFF0000"/>
      </font>
      <fill>
        <patternFill patternType="none"/>
      </fill>
    </dxf>
    <dxf>
      <fill>
        <patternFill>
          <bgColor rgb="FFFFFF00"/>
        </patternFill>
      </fill>
    </dxf>
  </dxfs>
  <tableStyles count="0" defaultTableStyle="TableStyleMedium9" defaultPivotStyle="PivotStyleLight16"/>
  <colors>
    <mruColors>
      <color rgb="FFF2DCDB"/>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2</xdr:row>
      <xdr:rowOff>161925</xdr:rowOff>
    </xdr:from>
    <xdr:to>
      <xdr:col>1</xdr:col>
      <xdr:colOff>952500</xdr:colOff>
      <xdr:row>8</xdr:row>
      <xdr:rowOff>104456</xdr:rowOff>
    </xdr:to>
    <xdr:pic>
      <xdr:nvPicPr>
        <xdr:cNvPr id="347407" name="Picture 1">
          <a:extLst>
            <a:ext uri="{FF2B5EF4-FFF2-40B4-BE49-F238E27FC236}">
              <a16:creationId xmlns:a16="http://schemas.microsoft.com/office/drawing/2014/main" id="{00000000-0008-0000-0100-00000F4D05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209550" y="419100"/>
          <a:ext cx="1152525" cy="1133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SDFORMS\2026EXPBUD.xlsx" TargetMode="External"/><Relationship Id="rId1" Type="http://schemas.openxmlformats.org/officeDocument/2006/relationships/externalLinkPath" Target="2026EXPBUD.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SDFORMS/2027DESEGBUD.xlsm" TargetMode="External"/><Relationship Id="rId2" Type="http://schemas.openxmlformats.org/officeDocument/2006/relationships/externalLinkPath" Target="https://azauditor.sharepoint.com/sites/ASDonline/School%20District%20Budget/FY%202027%20Budget%20Forms/Final%20Forms/2027DESEGBUD.xlsm" TargetMode="External"/><Relationship Id="rId1" Type="http://schemas.openxmlformats.org/officeDocument/2006/relationships/externalLinkPath" Target="/SDFORMS/2027DESEGBUD.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sheetName val="Page 1"/>
      <sheetName val="Page 2"/>
      <sheetName val="Page 3"/>
      <sheetName val="Page 4"/>
      <sheetName val="Page 5"/>
      <sheetName val="Page 6"/>
      <sheetName val="Page 7"/>
      <sheetName val="Page 8"/>
      <sheetName val="Supplement"/>
      <sheetName val="Summary Page 1"/>
      <sheetName val="Summary Page 2"/>
      <sheetName val="Truth in Tax"/>
      <sheetName val="Fund balances"/>
      <sheetName val="Data Entry"/>
      <sheetName val="Calculations"/>
      <sheetName val="BSA55"/>
      <sheetName val="Instructions"/>
      <sheetName val="2026EXPBUD"/>
    </sheetNames>
    <definedNames>
      <definedName name="AdjTNTBaseLimit" refersTo="='Truth in Tax'!$I$7"/>
      <definedName name="BudgIncrDesegExp" refersTo="='Page 7'!$J$34"/>
      <definedName name="BudgIncrDropPrevProg" refersTo="='Page 7'!$J$36"/>
      <definedName name="BudgIncrJCTEVEC" refersTo="='Page 7'!$J$39"/>
      <definedName name="CSFBLBudgFY" refersTo="='Page 3'!$D$39" sheetId="3"/>
      <definedName name="CYTRCL" refersTo="='BSA55'!$E$105"/>
      <definedName name="ExcessTNTLimit" refersTo="='Truth in Tax'!$I$26"/>
      <definedName name="F001Carryforward" refersTo="='Page 1'!$L$43"/>
      <definedName name="F001P100F1000" refersTo="='Page 1'!$L$8"/>
      <definedName name="F001P100F1000OthBudgFY" refersTo="='Summary Page 1'!$F$33"/>
      <definedName name="F001P100F1000Personnel" refersTo="='Page 1'!$E$8"/>
      <definedName name="F001P100F1000SBBudgFY" refersTo="='Summary Page 1'!$D$33"/>
      <definedName name="F001P100F2100" refersTo="='Page 1'!$L$10"/>
      <definedName name="F001P100F2100OthBudgFY" refersTo="='Summary Page 1'!$F$35"/>
      <definedName name="F001P100F2100Personnel" refersTo="='Page 1'!$E$10"/>
      <definedName name="F001P100F2100SBBudgFY" refersTo="='Summary Page 1'!$D$35"/>
      <definedName name="F001P100F2200" refersTo="='Page 1'!$L$11"/>
      <definedName name="F001P100F2200OthBudgFY" refersTo="='Summary Page 1'!$F$36"/>
      <definedName name="F001P100F2200Personnel" refersTo="='Page 1'!$E$11"/>
      <definedName name="F001P100F2200SBBudgFY" refersTo="='Summary Page 1'!$D$36"/>
      <definedName name="F001P100F2300" refersTo="='Page 1'!$L$12"/>
      <definedName name="F001P100F230024002500OthBudgFY" refersTo="='Summary Page 1'!$F$37"/>
      <definedName name="F001P100F230024002500SBBudgFY" refersTo="='Summary Page 1'!$D$37"/>
      <definedName name="F001P100F2300Personnel" refersTo="='Page 1'!$E$12"/>
      <definedName name="F001P100F2400" refersTo="='Page 1'!$L$13"/>
      <definedName name="F001P100F2400Personnel" refersTo="='Page 1'!$E$13"/>
      <definedName name="F001P100F2500" refersTo="='Page 1'!$L$14"/>
      <definedName name="F001P100F2500Personnel" refersTo="='Page 1'!$E$14"/>
      <definedName name="F001P100F2600" refersTo="='Page 1'!$L$15"/>
      <definedName name="F001P100F2600OthBudgFY" refersTo="='Summary Page 1'!$F$38"/>
      <definedName name="F001P100F2600Personnel" refersTo="='Page 1'!$E$15"/>
      <definedName name="F001P100F2600SBBudgFY" refersTo="='Summary Page 1'!$D$38"/>
      <definedName name="F001P100F2900" refersTo="='Page 1'!$L$16"/>
      <definedName name="F001P100F2900OthBudgFY" refersTo="='Summary Page 1'!$F$39"/>
      <definedName name="F001P100F2900Personnel" refersTo="='Page 1'!$E$16"/>
      <definedName name="F001P100F2900SBBudgFY" refersTo="='Summary Page 1'!$D$39"/>
      <definedName name="F001P100F3000" refersTo="='Page 1'!$L$17"/>
      <definedName name="F001P100F3000OthBudgFY" refersTo="='Summary Page 1'!$F$40"/>
      <definedName name="F001P100F3000Personnel" refersTo="='Page 1'!$E$17"/>
      <definedName name="F001P100F3000SBBudgFY" refersTo="='Summary Page 1'!$D$40"/>
      <definedName name="F001P200F1000" refersTo="='Page 1'!$L$24"/>
      <definedName name="F001P200F1000OthBudgFY" refersTo="='Summary Page 1'!$F$46"/>
      <definedName name="F001P200F1000Personnel" refersTo="='Page 1'!$E$24"/>
      <definedName name="F001P200F1000SBBudgFY" refersTo="='Summary Page 1'!$D$46"/>
      <definedName name="F001P200F2100" refersTo="='Page 1'!$L$26"/>
      <definedName name="F001P200F2100OthBudgFY" refersTo="='Summary Page 1'!$F$48"/>
      <definedName name="F001P200F2100Personnel" refersTo="='Page 1'!$E$26"/>
      <definedName name="F001P200F2100SBBudgFY" refersTo="='Summary Page 1'!$D$48"/>
      <definedName name="F001P200F2200" refersTo="='Page 1'!$L$27"/>
      <definedName name="F001P200F2200OthBudgFY" refersTo="='Summary Page 1'!$F$49"/>
      <definedName name="F001P200F2200Personnel" refersTo="='Page 1'!$E$27"/>
      <definedName name="F001P200F2200SBBudgFY" refersTo="='Summary Page 1'!$D$49"/>
      <definedName name="F001P200F2300" refersTo="='Page 1'!$L$28"/>
      <definedName name="F001P200F230024002500OthBudgFY" refersTo="='Summary Page 1'!$F$50"/>
      <definedName name="F001P200F230024002500SBBudgFY" refersTo="='Summary Page 1'!$D$50"/>
      <definedName name="F001P200F2300Personnel" refersTo="='Page 1'!$E$28"/>
      <definedName name="F001P200F2400" refersTo="='Page 1'!$L$29"/>
      <definedName name="F001P200F2400Personnel" refersTo="='Page 1'!$E$29"/>
      <definedName name="F001P200F2500" refersTo="='Page 1'!$L$30"/>
      <definedName name="F001P200F2500Personnel" refersTo="='Page 1'!$E$30"/>
      <definedName name="F001P200F2600" refersTo="='Page 1'!$L$31"/>
      <definedName name="F001P200F2600OthBudgFY" refersTo="='Summary Page 1'!$F$51"/>
      <definedName name="F001P200F2600Personnel" refersTo="='Page 1'!$E$31"/>
      <definedName name="F001P200F2600SBBudgFY" refersTo="='Summary Page 1'!$D$51"/>
      <definedName name="F001P200F2900" refersTo="='Page 1'!$L$32"/>
      <definedName name="F001P200F2900OthBudgFY" refersTo="='Summary Page 1'!$F$52"/>
      <definedName name="F001P200F2900Personnel" refersTo="='Page 1'!$E$32"/>
      <definedName name="F001P200F2900SBBudgFY" refersTo="='Summary Page 1'!$D$52"/>
      <definedName name="F001P200F3000" refersTo="='Page 1'!$L$33"/>
      <definedName name="F001P200F3000OthBudgFY" refersTo="='Summary Page 1'!$F$53"/>
      <definedName name="F001P200F3000Personnel" refersTo="='Page 1'!$E$33"/>
      <definedName name="F001P200F3000SBBudgFY" refersTo="='Summary Page 1'!$D$53"/>
      <definedName name="F001P200Subtotal" refersTo="='Page 2'!$G$7"/>
      <definedName name="F001P400OthBudgFy" refersTo="='Summary Page 1'!$F$55"/>
      <definedName name="F001P400Personnel" refersTo="='Page 1'!$E$35"/>
      <definedName name="F001P400SBBudgFY" refersTo="='Summary Page 1'!$D$55"/>
      <definedName name="F001P510OthBudgFY" refersTo="='Summary Page 1'!$F$56"/>
      <definedName name="F001P510SBBudgFY" refersTo="='Summary Page 1'!$D$56"/>
      <definedName name="F001P530" refersTo="='Page 1'!$L$38"/>
      <definedName name="F001P530OthBudgFY" refersTo="='Summary Page 1'!$F$57"/>
      <definedName name="F001P530Personnel" refersTo="='Page 1'!$E$38"/>
      <definedName name="F001P530SBBudgFY" refersTo="='Summary Page 1'!$D$57"/>
      <definedName name="F001P540OthBudgFY" refersTo="='Summary Page 1'!$F$59"/>
      <definedName name="F001P540Personnel" refersTo="='Page 1'!$E$40"/>
      <definedName name="F001P540SBBudgFY" refersTo="='Summary Page 1'!$D$59"/>
      <definedName name="F001P550" refersTo="='Page 1'!$L$41"/>
      <definedName name="F001P550OthBudgFY" refersTo="='Summary Page 1'!$F$60"/>
      <definedName name="F001P550Personnel" refersTo="='Page 1'!$E$41"/>
      <definedName name="F001P550SBBudgFY" refersTo="='Summary Page 1'!$D$60"/>
      <definedName name="F001P610" refersTo="='Page 1'!$L$18"/>
      <definedName name="F001P610OthBudgFY" refersTo="='Summary Page 1'!$F$41"/>
      <definedName name="F001P610Personnel" refersTo="='Page 1'!$E$18"/>
      <definedName name="F001P610SBBudgFY" refersTo="='Summary Page 1'!$D$41"/>
      <definedName name="F001P620" refersTo="='Page 1'!$L$19"/>
      <definedName name="F001P620OthBudgFY" refersTo="='Summary Page 1'!$F$42"/>
      <definedName name="F001P620Personnel" refersTo="='Page 1'!$E$19"/>
      <definedName name="F001P620SBBudgFY" refersTo="='Summary Page 1'!$D$42"/>
      <definedName name="F001P630" refersTo="='Page 1'!$L$20"/>
      <definedName name="F001P630700800900OthBudgFY" refersTo="='Summary Page 1'!$F$43"/>
      <definedName name="F001P630700800900SBBudgFY" refersTo="='Summary Page 1'!$D$43"/>
      <definedName name="F001P630Personnel" refersTo="='Page 1'!$E$20"/>
      <definedName name="F001P700800900" refersTo="='Page 1'!$L$21"/>
      <definedName name="F001P700800900Personnel" refersTo="='Page 1'!$E$21"/>
      <definedName name="F010Carryforward" refersTo="='Page 3'!$K$15"/>
      <definedName name="F010F1000" refersTo="='Page 3'!$K$6"/>
      <definedName name="F010F2100" refersTo="='Page 3'!$K$7"/>
      <definedName name="F010F2200" refersTo="='Page 3'!$K$8"/>
      <definedName name="F010F2310" refersTo="='Page 3'!$K$9"/>
      <definedName name="F010F2510" refersTo="='Page 3'!$K$10"/>
      <definedName name="F010F3300" refersTo="='Page 3'!$K$11"/>
      <definedName name="F010F4000" refersTo="='Page 3'!$K$12"/>
      <definedName name="F010F5000" refersTo="='Page 3'!$K$13"/>
      <definedName name="F020ClassSizeRedBudgFY" refersTo="='Page 6'!$J$44"/>
      <definedName name="F020DropPrevProgBudgFY" refersTo="='Page 6'!$J$45"/>
      <definedName name="F020InstrImprProgBudgFY" refersTo="='Page 6'!$J$46"/>
      <definedName name="F020TeachCompIncrBudgFY" refersTo="='Page 6'!$J$43"/>
      <definedName name="F050BudgFY" refersTo="='Page 6'!$T$5"/>
      <definedName name="F071F1000" refersTo="='Supplement'!$M$8"/>
      <definedName name="F071F1000Personnel" refersTo="='Supplement'!$E$8"/>
      <definedName name="F071F2100" refersTo="='Supplement'!$M$10"/>
      <definedName name="F071F2100Personnel" refersTo="='Supplement'!$E$10"/>
      <definedName name="F071F2200" refersTo="='Supplement'!$M$11"/>
      <definedName name="F071F2200Personnel" refersTo="='Supplement'!$E$11"/>
      <definedName name="F071F2300" refersTo="='Supplement'!$M$12"/>
      <definedName name="F071F2300Personnel" refersTo="='Supplement'!$E$12"/>
      <definedName name="F071F2400" refersTo="='Supplement'!$M$13"/>
      <definedName name="F071F2400Personnel" refersTo="='Supplement'!$E$13"/>
      <definedName name="F071F2500" refersTo="='Supplement'!$M$14"/>
      <definedName name="F071F2500Personnel" refersTo="='Supplement'!$E$14"/>
      <definedName name="F071F2600" refersTo="='Supplement'!$M$15"/>
      <definedName name="F071F2600Personnel" refersTo="='Supplement'!$E$15"/>
      <definedName name="F071F2700" refersTo="='Supplement'!$M$16"/>
      <definedName name="F071F2700Personnel" refersTo="='Supplement'!$E$16"/>
      <definedName name="F071F2900" refersTo="='Supplement'!$M$17"/>
      <definedName name="F071F2900Personnel" refersTo="='Supplement'!$E$17"/>
      <definedName name="F072F1000" refersTo="='Supplement'!$M$20"/>
      <definedName name="F072F1000Personnel" refersTo="='Supplement'!$E$20"/>
      <definedName name="F072F2100" refersTo="='Supplement'!$M$22"/>
      <definedName name="F072F2100Personnel" refersTo="='Supplement'!$E$22"/>
      <definedName name="F072F2200" refersTo="='Supplement'!$M$23"/>
      <definedName name="F072F2200Personnel" refersTo="='Supplement'!$E$23"/>
      <definedName name="F072F2300" refersTo="='Supplement'!$M$24"/>
      <definedName name="F072F2300Personnel" refersTo="='Supplement'!$E$24"/>
      <definedName name="F072F2400" refersTo="='Supplement'!$M$25"/>
      <definedName name="F072F2400Personnel" refersTo="='Supplement'!$E$25"/>
      <definedName name="F072F2500" refersTo="='Supplement'!$M$26"/>
      <definedName name="F072F2500Personnel" refersTo="='Supplement'!$E$26"/>
      <definedName name="F072F2600" refersTo="='Supplement'!$M$27"/>
      <definedName name="F072F2600Personnel" refersTo="='Supplement'!$E$27"/>
      <definedName name="F072F2700" refersTo="='Supplement'!$M$28"/>
      <definedName name="F072F2700Personnel" refersTo="='Supplement'!$E$28"/>
      <definedName name="F072F2900" refersTo="='Supplement'!$M$29"/>
      <definedName name="F072F2900Personnel" refersTo="='Supplement'!$E$29"/>
      <definedName name="F100130BudgFY" refersTo="='Page 6'!$J$7"/>
      <definedName name="F100130Personnel" refersTo="='Page 6'!$G$7"/>
      <definedName name="F140150BudgFY" refersTo="='Page 6'!$J$8"/>
      <definedName name="F140150Personnel" refersTo="='Page 6'!$G$8"/>
      <definedName name="F160BudgFY" refersTo="='Page 6'!$J$9"/>
      <definedName name="F160Personnel" refersTo="='Page 6'!$G$9"/>
      <definedName name="F170180BudgFY" refersTo="='Page 6'!$J$10"/>
      <definedName name="F170180Personnel" refersTo="='Page 6'!$G$10"/>
      <definedName name="F190BudgFY" refersTo="='Page 6'!$J$11"/>
      <definedName name="F190Personnel" refersTo="='Page 6'!$G$11"/>
      <definedName name="F200BudgFY" refersTo="='Page 6'!$J$12"/>
      <definedName name="F200Personnel" refersTo="='Page 6'!$G$12"/>
      <definedName name="F210BudgFY" refersTo="='Page 6'!$J$13"/>
      <definedName name="F210Personnel" refersTo="='Page 6'!$G$13"/>
      <definedName name="F220BudgFY" refersTo="='Page 6'!$J$14"/>
      <definedName name="F220Personnel" refersTo="='Page 6'!$G$14"/>
      <definedName name="F230BudgFY" refersTo="='Page 6'!$J$15"/>
      <definedName name="F230Personnel" refersTo="='Page 6'!$G$15"/>
      <definedName name="F240BudgFY" refersTo="='Page 6'!$J$16"/>
      <definedName name="F240Personnel" refersTo="='Page 6'!$G$16"/>
      <definedName name="F250BudgFY" refersTo="='Page 6'!$J$17"/>
      <definedName name="F250Personnel" refersTo="='Page 6'!$G$17"/>
      <definedName name="F260270BudgFY" refersTo="='Page 6'!$J$18"/>
      <definedName name="F260270Personnel" refersTo="='Page 6'!$G$18"/>
      <definedName name="F280BudgFY" refersTo="='Page 6'!$J$19"/>
      <definedName name="F280Personnel" refersTo="='Page 6'!$G$19"/>
      <definedName name="F290BudgFY" refersTo="='Page 6'!$J$20"/>
      <definedName name="F290Personnel" refersTo="='Page 6'!$G$20"/>
      <definedName name="F300399OtherBudgFY" refersTo="='Page 6'!$J$25"/>
      <definedName name="F300399OtherPersonnel" refersTo="='Page 6'!$G$25"/>
      <definedName name="F349BudFY" refersTo="='Page 6'!$J$21"/>
      <definedName name="F349Personnel" refersTo="='Page 6'!$G$21"/>
      <definedName name="F353BudgFY" refersTo="='Page 6'!$J$22"/>
      <definedName name="F353Personnel" refersTo="='Page 6'!$G$22"/>
      <definedName name="F374BudgFY" refersTo="='Page 6'!$J$23"/>
      <definedName name="F374Personnel" refersTo="='Page 6'!$G$23"/>
      <definedName name="F378BudgFY" refersTo="='Page 6'!$J$24"/>
      <definedName name="F378Personnel" refersTo="='Page 6'!$G$24"/>
      <definedName name="F400BudgFY" refersTo="='Page 6'!$J$29"/>
      <definedName name="F400Personnel" refersTo="='Page 6'!$G$29"/>
      <definedName name="F410BudgFY" refersTo="='Page 6'!$J$30"/>
      <definedName name="F410Personnel" refersTo="='Page 6'!$G$30"/>
      <definedName name="F420BudgFY" refersTo="='Page 6'!$J$31"/>
      <definedName name="F420Personnel" refersTo="='Page 6'!$G$31"/>
      <definedName name="F425BudgFY" refersTo="='Page 6'!$J$32"/>
      <definedName name="F425Personnel" refersTo="='Page 6'!$G$32"/>
      <definedName name="F430BudgFY" refersTo="='Page 6'!$J$33"/>
      <definedName name="F430Personnel" refersTo="='Page 6'!$G$33"/>
      <definedName name="F435BudgFY" refersTo="='Page 6'!$J$34"/>
      <definedName name="F435Personnel" refersTo="='Page 6'!$G$34"/>
      <definedName name="F450BudgFY" refersTo="='Page 6'!$J$35"/>
      <definedName name="F450Personnel" refersTo="='Page 6'!$G$35"/>
      <definedName name="F456BudgFY" refersTo="='Page 6'!$J$36"/>
      <definedName name="F456Personnel" refersTo="='Page 6'!$G$36"/>
      <definedName name="F460BudgFY" refersTo="='Page 6'!$J$37"/>
      <definedName name="F460Personnel" refersTo="='Page 6'!$G$37"/>
      <definedName name="F465499BudgFY" refersTo="='Page 6'!$J$38"/>
      <definedName name="F465499Personnel" refersTo="='Page 6'!$G$38"/>
      <definedName name="F500BudgFY" refersTo="='Page 6'!$T$8"/>
      <definedName name="F515BudgFY" refersTo="='Page 6'!$T$10"/>
      <definedName name="F520BudgFY" refersTo="='Page 6'!$T$11"/>
      <definedName name="F525BudgFY" refersTo="='Page 6'!$T$12"/>
      <definedName name="F526BudgFY" refersTo="='Page 6'!$T$13"/>
      <definedName name="F530BudgFY" refersTo="='Page 6'!$T$14"/>
      <definedName name="F535BudgFY" refersTo="='Page 6'!$T$15"/>
      <definedName name="F540BudgFY" refersTo="='Page 6'!$T$16"/>
      <definedName name="F545BudgFY" refersTo="='Page 6'!$T$17"/>
      <definedName name="F550BudgFY" refersTo="='Page 6'!$T$18"/>
      <definedName name="F555BudgFY" refersTo="='Page 6'!$T$19"/>
      <definedName name="F565BudgFY" refersTo="='Page 6'!$T$20"/>
      <definedName name="F570BudgFY" refersTo="='Page 6'!$T$21"/>
      <definedName name="F575BudgFY" refersTo="='Page 6'!$T$22"/>
      <definedName name="F580BudgFY" refersTo="='Page 6'!$T$23"/>
      <definedName name="F585BudgFY" refersTo="='Page 6'!$T$24"/>
      <definedName name="F590BudgFY" refersTo="='Page 6'!$T$25"/>
      <definedName name="F595BudgFY" refersTo="='Page 6'!$T$26"/>
      <definedName name="F596BudgFY" refersTo="='Page 6'!$T$27"/>
      <definedName name="F597BudgFY" refersTo="='Page 6'!$T$28"/>
      <definedName name="F610BudgFYNewConstruction" refersTo="='Page 5'!$E$24"/>
      <definedName name="F610BudgFYO6150" refersTo="='Page 5'!$E$10"/>
      <definedName name="F610BudgFYO6200" refersTo="='Page 5'!$E$11"/>
      <definedName name="F610BudgFYO6450" refersTo="='Page 5'!$E$12"/>
      <definedName name="F610BudgFYO6710" refersTo="='Page 5'!$E$14"/>
      <definedName name="F610BudgFYO6720" refersTo="='Page 5'!$E$15"/>
      <definedName name="F610BudgFYO6731" refersTo="='Page 5'!$E$16"/>
      <definedName name="F610BudgFYO6734" refersTo="='Page 5'!$E$17"/>
      <definedName name="F610BudgFYO6737" refersTo="='Page 5'!$E$18"/>
      <definedName name="F610BudgFYO6831" refersTo="='Page 5'!$E$19"/>
      <definedName name="F610BudgFYO6841" refersTo="='Page 5'!$E$20"/>
      <definedName name="F610BudgFYOther" refersTo="='Page 5'!$E$25"/>
      <definedName name="F610BudgFYRenovation" refersTo="='Page 5'!$E$23"/>
      <definedName name="F610Carryforward" refersTo="='Page 4'!$L$20"/>
      <definedName name="F610F1000" refersTo="='Page 4'!$L$10"/>
      <definedName name="F610F21002200" refersTo="='Page 4'!$L$12"/>
      <definedName name="F610F2300240025002900" refersTo="='Page 4'!$L$13"/>
      <definedName name="F610F2600" refersTo="='Page 4'!$L$14"/>
      <definedName name="F610F2700" refersTo="='Page 4'!$L$15"/>
      <definedName name="F610F3000" refersTo="='Page 4'!$L$16"/>
      <definedName name="F610F4000" refersTo="='Page 4'!$L$17"/>
      <definedName name="F610F5000" refersTo="='Page 4'!$L$18"/>
      <definedName name="F610Override" refersTo="='Page 4'!$L$8"/>
      <definedName name="F620BudgFYNewConstruction" refersTo="='Page 5'!$K$24"/>
      <definedName name="F620BudgFYO6150" refersTo="='Page 5'!$K$10"/>
      <definedName name="F620BudgFYO6200" refersTo="='Page 5'!$K$11"/>
      <definedName name="F620BudgFYO6450" refersTo="='Page 5'!$K$12"/>
      <definedName name="F620BudgFYO6710" refersTo="='Page 5'!$K$14"/>
      <definedName name="F620BudgFYO6720" refersTo="='Page 5'!$K$15"/>
      <definedName name="F620BudgFYO6731" refersTo="='Page 5'!$K$16"/>
      <definedName name="F620BudgFYO6734" refersTo="='Page 5'!$K$17"/>
      <definedName name="F620BudgFYO6737" refersTo="='Page 5'!$K$18"/>
      <definedName name="F620BudgFYO6831" refersTo="='Page 5'!$K$19"/>
      <definedName name="F620BudgFYO6841" refersTo="='Page 5'!$K$20"/>
      <definedName name="F620BudgFYOther" refersTo="='Page 5'!$K$25"/>
      <definedName name="F620BudgFYRenovation" refersTo="='Page 5'!$K$23"/>
      <definedName name="F620TotalBudgFY" refersTo="='Page 5'!$K$8"/>
      <definedName name="F630BudgFYNewConstruction" refersTo="='Page 5'!$G$24"/>
      <definedName name="F630BudgFYO6150" refersTo="='Page 5'!$G$10"/>
      <definedName name="F630BudgFYO6200" refersTo="='Page 5'!$G$11"/>
      <definedName name="F630BudgFYO6450" refersTo="='Page 5'!$G$12"/>
      <definedName name="F630BudgFYO6710" refersTo="='Page 5'!$G$14"/>
      <definedName name="F630BudgFYO6720" refersTo="='Page 5'!$G$15"/>
      <definedName name="F630BudgFYO6731" refersTo="='Page 5'!$G$16"/>
      <definedName name="F630BudgFYO6734" refersTo="='Page 5'!$G$17"/>
      <definedName name="F630BudgFYO6737" refersTo="='Page 5'!$G$18"/>
      <definedName name="F630BudgFYO6831" refersTo="='Page 5'!$G$19"/>
      <definedName name="F630BudgFYO6841" refersTo="='Page 5'!$G$20"/>
      <definedName name="F630BudgFYOther" refersTo="='Page 5'!$G$25"/>
      <definedName name="F630BudgFYRenovation" refersTo="='Page 5'!$G$23"/>
      <definedName name="F630TotalBudgFY" refersTo="='Page 5'!$G$8"/>
      <definedName name="F639BudgFY" refersTo="='Page 6'!$T$29"/>
      <definedName name="F650BudgFY" refersTo="='Page 6'!$T$30"/>
      <definedName name="F660BudgFY" refersTo="='Page 6'!$T$31"/>
      <definedName name="F665BudgFY" refersTo="='Page 6'!$T$32"/>
      <definedName name="F686BudgFY" refersTo="='Page 6'!$T$33"/>
      <definedName name="F691BudgFY" refersTo="='Page 6'!$T$34"/>
      <definedName name="F695BudgFYNewConstruction" refersTo="='Page 5'!$I$24"/>
      <definedName name="F695BudgFYO6150" refersTo="='Page 5'!$I$10"/>
      <definedName name="F695BudgFYO6200" refersTo="='Page 5'!$I$11"/>
      <definedName name="F695BudgFYO6450" refersTo="='Page 5'!$I$12"/>
      <definedName name="F695BudgFYO6710" refersTo="='Page 5'!$I$14"/>
      <definedName name="F695BudgFYO6720" refersTo="='Page 5'!$I$15"/>
      <definedName name="F695BudgFYO6731" refersTo="='Page 5'!$I$16"/>
      <definedName name="F695BudgFYO6734" refersTo="='Page 5'!$I$17"/>
      <definedName name="F695BudgFYO6737" refersTo="='Page 5'!$I$18"/>
      <definedName name="F695BudgFYO6831" refersTo="='Page 5'!$I$19"/>
      <definedName name="F695BudgFYO6841" refersTo="='Page 5'!$I$20"/>
      <definedName name="F695BudgFYOther" refersTo="='Page 5'!$I$25"/>
      <definedName name="F695TotalBudgFY" refersTo="='Page 5'!$I$8"/>
      <definedName name="F699BudgFY" refersTo="='Page 6'!$J$26"/>
      <definedName name="F699Personnel" refersTo="='Page 6'!$G$26"/>
      <definedName name="F700BudgFY" refersTo="='Page 6'!$T$35"/>
      <definedName name="F720BudgFY" refersTo="='Page 6'!$T$36"/>
      <definedName name="F850BudgFY" refersTo="='Page 6'!$T$37"/>
      <definedName name="F9__OPEBBudgFY" refersTo="='Page 6'!$T$42"/>
      <definedName name="F9__OtherBudgFY" refersTo="='Page 6'!$T$43"/>
      <definedName name="F9__SelfInsBudgFY" refersTo="='Page 6'!$T$40"/>
      <definedName name="F955BudgFY" refersTo="='Page 6'!$T$41"/>
      <definedName name="GBLBudgFY" refersTo="='Page 7'!$J$58"/>
      <definedName name="IEPTransportCosts" refersTo="='Page 2'!$G$19"/>
      <definedName name="JTEDBudgFY" refersTo="='Page 2'!$G$14"/>
      <definedName name="OtherFundsBudgFY" refersTo="='Page 6'!$T$38"/>
      <definedName name="PerfPayCrryfwd" refersTo="='Page 7'!$J$41"/>
      <definedName name="SpecProgOverride" refersTo="='Page 7'!$J$21"/>
      <definedName name="SPEDCareerEdBudgFY" refersTo="='Page 2'!$G$13"/>
      <definedName name="SPEDELLCompInstrBudgFY" refersTo="='Page 2'!$G$11"/>
      <definedName name="SPEDELLIncCostBudgFY" refersTo="='Page 2'!$G$10"/>
      <definedName name="SPEDGiftedEdBudgFY" refersTo="='Page 2'!$G$8"/>
      <definedName name="SPEDRemedialEdBudgFY" refersTo="='Page 2'!$G$9"/>
      <definedName name="SPEDVocTechEdBudgFY" refersTo="='Page 2'!$G$12"/>
      <definedName name="SummCTEDBY" refersTo="='Summary Page 2'!$E$32"/>
      <definedName name="TSL" refersTo="='BSA55'!$E$93"/>
      <definedName name="UCBLBudgFY" refersTo="='Page 8'!$K$32"/>
    </definedNames>
    <sheetDataSet>
      <sheetData sheetId="0"/>
      <sheetData sheetId="1">
        <row r="8">
          <cell r="E8">
            <v>7.75</v>
          </cell>
          <cell r="L8">
            <v>593678</v>
          </cell>
        </row>
        <row r="10">
          <cell r="E10">
            <v>1</v>
          </cell>
          <cell r="L10">
            <v>86056</v>
          </cell>
        </row>
        <row r="11">
          <cell r="E11"/>
          <cell r="L11">
            <v>5050</v>
          </cell>
        </row>
        <row r="12">
          <cell r="E12">
            <v>1</v>
          </cell>
          <cell r="L12">
            <v>193340</v>
          </cell>
        </row>
        <row r="13">
          <cell r="E13"/>
          <cell r="L13">
            <v>0</v>
          </cell>
        </row>
        <row r="14">
          <cell r="E14">
            <v>1</v>
          </cell>
          <cell r="L14">
            <v>120343</v>
          </cell>
        </row>
        <row r="15">
          <cell r="E15">
            <v>1.75</v>
          </cell>
          <cell r="L15">
            <v>171684</v>
          </cell>
        </row>
        <row r="16">
          <cell r="E16">
            <v>0</v>
          </cell>
          <cell r="L16">
            <v>0</v>
          </cell>
        </row>
        <row r="17">
          <cell r="E17">
            <v>1</v>
          </cell>
          <cell r="L17">
            <v>40173</v>
          </cell>
        </row>
        <row r="18">
          <cell r="E18">
            <v>0.88</v>
          </cell>
          <cell r="L18">
            <v>30198</v>
          </cell>
        </row>
        <row r="19">
          <cell r="E19">
            <v>0</v>
          </cell>
          <cell r="L19">
            <v>11060</v>
          </cell>
        </row>
        <row r="20">
          <cell r="E20">
            <v>0</v>
          </cell>
          <cell r="L20">
            <v>0</v>
          </cell>
        </row>
        <row r="21">
          <cell r="E21">
            <v>0</v>
          </cell>
          <cell r="L21">
            <v>0</v>
          </cell>
        </row>
        <row r="24">
          <cell r="E24"/>
          <cell r="L24">
            <v>9252</v>
          </cell>
        </row>
        <row r="26">
          <cell r="E26">
            <v>0.15</v>
          </cell>
          <cell r="L26">
            <v>30918</v>
          </cell>
        </row>
        <row r="27">
          <cell r="E27"/>
          <cell r="L27">
            <v>8706</v>
          </cell>
        </row>
        <row r="28">
          <cell r="E28"/>
          <cell r="L28">
            <v>0</v>
          </cell>
        </row>
        <row r="29">
          <cell r="E29"/>
          <cell r="L29">
            <v>0</v>
          </cell>
        </row>
        <row r="30">
          <cell r="E30"/>
          <cell r="L30">
            <v>0</v>
          </cell>
        </row>
        <row r="31">
          <cell r="E31"/>
          <cell r="L31">
            <v>0</v>
          </cell>
        </row>
        <row r="32">
          <cell r="E32"/>
          <cell r="L32">
            <v>0</v>
          </cell>
        </row>
        <row r="33">
          <cell r="E33"/>
          <cell r="L33">
            <v>0</v>
          </cell>
        </row>
        <row r="35">
          <cell r="E35">
            <v>1</v>
          </cell>
          <cell r="L35">
            <v>91510</v>
          </cell>
        </row>
        <row r="38">
          <cell r="E38"/>
          <cell r="L38">
            <v>0</v>
          </cell>
        </row>
        <row r="40">
          <cell r="E40">
            <v>0</v>
          </cell>
          <cell r="L40">
            <v>0</v>
          </cell>
        </row>
        <row r="41">
          <cell r="E41">
            <v>0.5</v>
          </cell>
          <cell r="L41">
            <v>10978</v>
          </cell>
        </row>
        <row r="43">
          <cell r="L43">
            <v>100000</v>
          </cell>
        </row>
        <row r="44">
          <cell r="L44">
            <v>1502946</v>
          </cell>
        </row>
      </sheetData>
      <sheetData sheetId="2">
        <row r="7">
          <cell r="G7">
            <v>48876</v>
          </cell>
        </row>
        <row r="8">
          <cell r="G8"/>
        </row>
        <row r="9">
          <cell r="G9"/>
        </row>
        <row r="10">
          <cell r="G10"/>
        </row>
        <row r="11">
          <cell r="G11"/>
        </row>
        <row r="12">
          <cell r="G12"/>
        </row>
        <row r="13">
          <cell r="G13"/>
        </row>
        <row r="14">
          <cell r="G14"/>
        </row>
        <row r="19">
          <cell r="G19">
            <v>0</v>
          </cell>
        </row>
      </sheetData>
      <sheetData sheetId="3">
        <row r="6">
          <cell r="K6">
            <v>186560</v>
          </cell>
        </row>
        <row r="7">
          <cell r="K7">
            <v>8700</v>
          </cell>
        </row>
        <row r="8">
          <cell r="K8">
            <v>0</v>
          </cell>
        </row>
        <row r="9">
          <cell r="K9">
            <v>0</v>
          </cell>
        </row>
        <row r="10">
          <cell r="K10">
            <v>0</v>
          </cell>
        </row>
        <row r="11">
          <cell r="K11">
            <v>0</v>
          </cell>
        </row>
        <row r="12">
          <cell r="K12">
            <v>0</v>
          </cell>
        </row>
        <row r="13">
          <cell r="K13">
            <v>0</v>
          </cell>
        </row>
        <row r="15">
          <cell r="K15">
            <v>81747</v>
          </cell>
        </row>
        <row r="39">
          <cell r="D39">
            <v>277007</v>
          </cell>
        </row>
      </sheetData>
      <sheetData sheetId="4">
        <row r="8">
          <cell r="L8">
            <v>0</v>
          </cell>
        </row>
        <row r="10">
          <cell r="L10">
            <v>31289</v>
          </cell>
        </row>
        <row r="12">
          <cell r="L12">
            <v>20500</v>
          </cell>
        </row>
        <row r="13">
          <cell r="L13">
            <v>0</v>
          </cell>
        </row>
        <row r="14">
          <cell r="L14">
            <v>2500</v>
          </cell>
        </row>
        <row r="15">
          <cell r="L15">
            <v>0</v>
          </cell>
        </row>
        <row r="16">
          <cell r="L16">
            <v>1689</v>
          </cell>
        </row>
        <row r="17">
          <cell r="L17">
            <v>7500</v>
          </cell>
        </row>
        <row r="18">
          <cell r="L18">
            <v>0</v>
          </cell>
        </row>
        <row r="20">
          <cell r="L20">
            <v>158179</v>
          </cell>
        </row>
        <row r="21">
          <cell r="L21">
            <v>221657</v>
          </cell>
        </row>
      </sheetData>
      <sheetData sheetId="5">
        <row r="8">
          <cell r="G8"/>
          <cell r="I8"/>
          <cell r="K8">
            <v>45097</v>
          </cell>
        </row>
        <row r="10">
          <cell r="E10">
            <v>0</v>
          </cell>
          <cell r="G10"/>
          <cell r="I10"/>
          <cell r="K10"/>
        </row>
        <row r="11">
          <cell r="E11">
            <v>0</v>
          </cell>
          <cell r="G11"/>
          <cell r="I11"/>
          <cell r="K11"/>
        </row>
        <row r="12">
          <cell r="E12">
            <v>0</v>
          </cell>
          <cell r="G12"/>
          <cell r="I12"/>
          <cell r="K12">
            <v>45097</v>
          </cell>
        </row>
        <row r="13">
          <cell r="E13">
            <v>0</v>
          </cell>
          <cell r="G13"/>
          <cell r="I13"/>
          <cell r="K13"/>
        </row>
        <row r="14">
          <cell r="E14">
            <v>0</v>
          </cell>
          <cell r="G14"/>
          <cell r="I14"/>
          <cell r="K14"/>
        </row>
        <row r="15">
          <cell r="E15">
            <v>0</v>
          </cell>
          <cell r="G15"/>
          <cell r="I15"/>
          <cell r="K15"/>
        </row>
        <row r="16">
          <cell r="E16">
            <v>10200</v>
          </cell>
          <cell r="G16"/>
          <cell r="I16"/>
          <cell r="K16"/>
        </row>
        <row r="17">
          <cell r="E17">
            <v>0</v>
          </cell>
          <cell r="G17"/>
          <cell r="I17"/>
          <cell r="K17"/>
        </row>
        <row r="18">
          <cell r="E18">
            <v>9500</v>
          </cell>
          <cell r="G18"/>
          <cell r="I18"/>
          <cell r="K18"/>
        </row>
        <row r="19">
          <cell r="E19"/>
          <cell r="G19"/>
          <cell r="I19"/>
          <cell r="K19"/>
        </row>
        <row r="20">
          <cell r="E20"/>
          <cell r="G20"/>
          <cell r="I20"/>
          <cell r="K20"/>
        </row>
        <row r="23">
          <cell r="E23">
            <v>19700</v>
          </cell>
          <cell r="G23"/>
          <cell r="K23"/>
        </row>
        <row r="24">
          <cell r="E24"/>
          <cell r="G24"/>
          <cell r="I24"/>
          <cell r="K24">
            <v>45097</v>
          </cell>
        </row>
        <row r="25">
          <cell r="E25"/>
          <cell r="G25"/>
          <cell r="I25"/>
          <cell r="K25"/>
        </row>
      </sheetData>
      <sheetData sheetId="6">
        <row r="5">
          <cell r="T5"/>
        </row>
        <row r="7">
          <cell r="G7">
            <v>2.75</v>
          </cell>
          <cell r="J7">
            <v>92939</v>
          </cell>
        </row>
        <row r="8">
          <cell r="G8">
            <v>0</v>
          </cell>
          <cell r="J8">
            <v>10347</v>
          </cell>
          <cell r="T8">
            <v>4384</v>
          </cell>
        </row>
        <row r="9">
          <cell r="G9"/>
          <cell r="J9"/>
        </row>
        <row r="10">
          <cell r="G10"/>
          <cell r="J10"/>
          <cell r="T10"/>
        </row>
        <row r="11">
          <cell r="G11"/>
          <cell r="J11"/>
          <cell r="T11"/>
        </row>
        <row r="12">
          <cell r="G12"/>
          <cell r="J12"/>
          <cell r="T12">
            <v>885</v>
          </cell>
        </row>
        <row r="13">
          <cell r="G13"/>
          <cell r="J13"/>
          <cell r="T13">
            <v>10000</v>
          </cell>
        </row>
        <row r="14">
          <cell r="G14">
            <v>1</v>
          </cell>
          <cell r="J14">
            <v>23848</v>
          </cell>
          <cell r="T14">
            <v>11623</v>
          </cell>
        </row>
        <row r="15">
          <cell r="G15"/>
          <cell r="J15"/>
          <cell r="T15"/>
        </row>
        <row r="16">
          <cell r="G16"/>
          <cell r="J16"/>
          <cell r="T16">
            <v>100</v>
          </cell>
        </row>
        <row r="17">
          <cell r="G17"/>
          <cell r="J17"/>
          <cell r="T17"/>
        </row>
        <row r="18">
          <cell r="G18"/>
          <cell r="J18"/>
          <cell r="T18">
            <v>22273</v>
          </cell>
        </row>
        <row r="19">
          <cell r="G19"/>
          <cell r="J19"/>
          <cell r="T19"/>
        </row>
        <row r="20">
          <cell r="G20"/>
          <cell r="J20"/>
          <cell r="T20"/>
        </row>
        <row r="21">
          <cell r="G21"/>
          <cell r="J21"/>
          <cell r="T21"/>
        </row>
        <row r="22">
          <cell r="G22"/>
          <cell r="J22"/>
          <cell r="T22"/>
        </row>
        <row r="23">
          <cell r="G23"/>
          <cell r="J23"/>
          <cell r="T23"/>
        </row>
        <row r="24">
          <cell r="G24"/>
          <cell r="J24"/>
          <cell r="T24"/>
        </row>
        <row r="25">
          <cell r="G25">
            <v>0</v>
          </cell>
          <cell r="J25">
            <v>11834</v>
          </cell>
          <cell r="T25">
            <v>570</v>
          </cell>
        </row>
        <row r="26">
          <cell r="G26"/>
          <cell r="J26"/>
          <cell r="T26"/>
        </row>
        <row r="27">
          <cell r="T27"/>
        </row>
        <row r="28">
          <cell r="T28"/>
        </row>
        <row r="29">
          <cell r="G29"/>
          <cell r="J29"/>
          <cell r="T29"/>
        </row>
        <row r="30">
          <cell r="G30"/>
          <cell r="J30"/>
          <cell r="T30"/>
        </row>
        <row r="31">
          <cell r="G31"/>
          <cell r="J31"/>
          <cell r="T31"/>
        </row>
        <row r="32">
          <cell r="G32"/>
          <cell r="J32"/>
          <cell r="T32"/>
        </row>
        <row r="33">
          <cell r="G33"/>
          <cell r="J33"/>
          <cell r="T33"/>
        </row>
        <row r="34">
          <cell r="G34"/>
          <cell r="J34"/>
          <cell r="T34">
            <v>18748</v>
          </cell>
        </row>
        <row r="35">
          <cell r="G35"/>
          <cell r="J35"/>
          <cell r="T35"/>
        </row>
        <row r="36">
          <cell r="G36"/>
          <cell r="J36"/>
          <cell r="T36"/>
        </row>
        <row r="37">
          <cell r="G37"/>
          <cell r="J37"/>
          <cell r="T37">
            <v>4175</v>
          </cell>
        </row>
        <row r="38">
          <cell r="G38"/>
          <cell r="J38"/>
          <cell r="T38"/>
        </row>
        <row r="40">
          <cell r="T40"/>
        </row>
        <row r="41">
          <cell r="T41"/>
        </row>
        <row r="42">
          <cell r="T42"/>
        </row>
        <row r="43">
          <cell r="J43"/>
          <cell r="T43"/>
        </row>
        <row r="44">
          <cell r="J44">
            <v>19948</v>
          </cell>
        </row>
        <row r="45">
          <cell r="J45">
            <v>0</v>
          </cell>
        </row>
        <row r="46">
          <cell r="J46">
            <v>8656</v>
          </cell>
        </row>
      </sheetData>
      <sheetData sheetId="7">
        <row r="21">
          <cell r="J21"/>
        </row>
        <row r="34">
          <cell r="J34"/>
        </row>
        <row r="36">
          <cell r="J36"/>
        </row>
        <row r="39">
          <cell r="J39"/>
        </row>
        <row r="41">
          <cell r="J41">
            <v>0</v>
          </cell>
        </row>
        <row r="58">
          <cell r="J58">
            <v>1502946</v>
          </cell>
        </row>
      </sheetData>
      <sheetData sheetId="8">
        <row r="32">
          <cell r="K32">
            <v>221657</v>
          </cell>
        </row>
      </sheetData>
      <sheetData sheetId="9">
        <row r="8">
          <cell r="E8"/>
          <cell r="M8">
            <v>0</v>
          </cell>
        </row>
        <row r="10">
          <cell r="E10"/>
          <cell r="M10">
            <v>0</v>
          </cell>
        </row>
        <row r="11">
          <cell r="E11"/>
          <cell r="M11">
            <v>0</v>
          </cell>
        </row>
        <row r="12">
          <cell r="E12"/>
          <cell r="M12">
            <v>0</v>
          </cell>
        </row>
        <row r="13">
          <cell r="E13"/>
          <cell r="M13">
            <v>0</v>
          </cell>
        </row>
        <row r="14">
          <cell r="E14"/>
          <cell r="M14">
            <v>0</v>
          </cell>
        </row>
        <row r="15">
          <cell r="E15"/>
          <cell r="M15">
            <v>0</v>
          </cell>
        </row>
        <row r="16">
          <cell r="E16"/>
          <cell r="M16">
            <v>0</v>
          </cell>
        </row>
        <row r="17">
          <cell r="E17"/>
          <cell r="M17">
            <v>0</v>
          </cell>
        </row>
        <row r="20">
          <cell r="E20"/>
          <cell r="M20">
            <v>0</v>
          </cell>
        </row>
        <row r="22">
          <cell r="E22"/>
          <cell r="M22">
            <v>0</v>
          </cell>
        </row>
        <row r="23">
          <cell r="E23"/>
          <cell r="M23">
            <v>0</v>
          </cell>
        </row>
        <row r="24">
          <cell r="E24"/>
          <cell r="M24">
            <v>0</v>
          </cell>
        </row>
        <row r="25">
          <cell r="E25"/>
          <cell r="M25">
            <v>0</v>
          </cell>
        </row>
        <row r="26">
          <cell r="E26"/>
          <cell r="M26">
            <v>0</v>
          </cell>
        </row>
        <row r="27">
          <cell r="E27"/>
          <cell r="M27">
            <v>0</v>
          </cell>
        </row>
        <row r="28">
          <cell r="E28"/>
          <cell r="M28">
            <v>0</v>
          </cell>
        </row>
        <row r="29">
          <cell r="E29"/>
          <cell r="M29">
            <v>0</v>
          </cell>
        </row>
      </sheetData>
      <sheetData sheetId="10">
        <row r="33">
          <cell r="D33">
            <v>582168</v>
          </cell>
          <cell r="F33">
            <v>11510</v>
          </cell>
        </row>
        <row r="35">
          <cell r="D35">
            <v>64390</v>
          </cell>
          <cell r="F35">
            <v>21666</v>
          </cell>
        </row>
        <row r="36">
          <cell r="D36">
            <v>0</v>
          </cell>
          <cell r="F36">
            <v>5050</v>
          </cell>
        </row>
        <row r="37">
          <cell r="D37">
            <v>225358</v>
          </cell>
          <cell r="F37">
            <v>88325</v>
          </cell>
        </row>
        <row r="38">
          <cell r="D38">
            <v>70250</v>
          </cell>
          <cell r="F38">
            <v>101434</v>
          </cell>
        </row>
        <row r="39">
          <cell r="D39">
            <v>0</v>
          </cell>
          <cell r="F39">
            <v>0</v>
          </cell>
        </row>
        <row r="40">
          <cell r="D40">
            <v>35700</v>
          </cell>
          <cell r="F40">
            <v>4473</v>
          </cell>
        </row>
        <row r="41">
          <cell r="D41">
            <v>27598</v>
          </cell>
          <cell r="F41">
            <v>2600</v>
          </cell>
        </row>
        <row r="42">
          <cell r="D42">
            <v>9560</v>
          </cell>
          <cell r="F42">
            <v>1500</v>
          </cell>
        </row>
        <row r="43">
          <cell r="D43">
            <v>0</v>
          </cell>
          <cell r="F43">
            <v>0</v>
          </cell>
        </row>
        <row r="46">
          <cell r="D46">
            <v>8252</v>
          </cell>
          <cell r="F46">
            <v>1000</v>
          </cell>
        </row>
        <row r="48">
          <cell r="D48">
            <v>13618</v>
          </cell>
          <cell r="F48">
            <v>17300</v>
          </cell>
        </row>
        <row r="49">
          <cell r="D49">
            <v>4650</v>
          </cell>
          <cell r="F49">
            <v>4056</v>
          </cell>
        </row>
        <row r="50">
          <cell r="D50">
            <v>0</v>
          </cell>
          <cell r="F50">
            <v>0</v>
          </cell>
        </row>
        <row r="51">
          <cell r="D51">
            <v>0</v>
          </cell>
          <cell r="F51">
            <v>0</v>
          </cell>
        </row>
        <row r="52">
          <cell r="D52">
            <v>0</v>
          </cell>
          <cell r="F52">
            <v>0</v>
          </cell>
        </row>
        <row r="53">
          <cell r="D53">
            <v>0</v>
          </cell>
          <cell r="F53">
            <v>0</v>
          </cell>
        </row>
        <row r="55">
          <cell r="D55">
            <v>53510</v>
          </cell>
          <cell r="F55">
            <v>38000</v>
          </cell>
        </row>
        <row r="56">
          <cell r="D56">
            <v>0</v>
          </cell>
          <cell r="F56">
            <v>0</v>
          </cell>
        </row>
        <row r="57">
          <cell r="D57">
            <v>0</v>
          </cell>
          <cell r="F57">
            <v>0</v>
          </cell>
        </row>
        <row r="59">
          <cell r="D59">
            <v>0</v>
          </cell>
          <cell r="F59">
            <v>0</v>
          </cell>
        </row>
        <row r="60">
          <cell r="D60">
            <v>10978</v>
          </cell>
          <cell r="F60">
            <v>0</v>
          </cell>
        </row>
      </sheetData>
      <sheetData sheetId="11">
        <row r="32">
          <cell r="E32">
            <v>0</v>
          </cell>
        </row>
      </sheetData>
      <sheetData sheetId="12">
        <row r="7">
          <cell r="I7">
            <v>158355</v>
          </cell>
        </row>
        <row r="11">
          <cell r="I11">
            <v>0</v>
          </cell>
        </row>
        <row r="12">
          <cell r="I12">
            <v>0</v>
          </cell>
        </row>
        <row r="13">
          <cell r="I13">
            <v>0</v>
          </cell>
        </row>
        <row r="14">
          <cell r="I14">
            <v>173949</v>
          </cell>
        </row>
        <row r="26">
          <cell r="I26">
            <v>15594</v>
          </cell>
        </row>
      </sheetData>
      <sheetData sheetId="13"/>
      <sheetData sheetId="14"/>
      <sheetData sheetId="15"/>
      <sheetData sheetId="16">
        <row r="93">
          <cell r="E93">
            <v>35802.14</v>
          </cell>
        </row>
        <row r="105">
          <cell r="E105">
            <v>72955.149999999994</v>
          </cell>
        </row>
      </sheetData>
      <sheetData sheetId="17"/>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Districtwide"/>
      <sheetName val="Template"/>
      <sheetName val="Instructions"/>
      <sheetName val="2027DESEGBUD"/>
      <sheetName val="Template Edition Information"/>
      <sheetName val="tst"/>
    </sheetNames>
    <definedNames>
      <definedName name="DesegFTEBY" refersTo="='Districtwide'!$E$66"/>
      <definedName name="DesegFTEPY" refersTo="='Districtwide'!$D$66"/>
      <definedName name="DesegTotalMOBY" refersTo="='Districtwide'!$L$66"/>
      <definedName name="DesegTotalMOO6100" refersTo="='Districtwide'!$F$66"/>
      <definedName name="DesegTotalMOO6200" refersTo="='Districtwide'!$G$66"/>
      <definedName name="DesegTotalMOO630064006500" refersTo="='Districtwide'!$H$66"/>
      <definedName name="DesegTotalMOO6600" refersTo="='Districtwide'!$I$66"/>
      <definedName name="DesegTotalMOO6800" refersTo="='Districtwide'!$J$66"/>
      <definedName name="DesegTotalMOPercent" refersTo="='Districtwide'!$M$66"/>
      <definedName name="DesegTotalMOPY" refersTo="='Districtwide'!$K$66"/>
    </definedNames>
    <sheetDataSet>
      <sheetData sheetId="0">
        <row r="66">
          <cell r="D66">
            <v>0</v>
          </cell>
          <cell r="E66">
            <v>0</v>
          </cell>
          <cell r="F66">
            <v>0</v>
          </cell>
          <cell r="G66">
            <v>0</v>
          </cell>
          <cell r="H66">
            <v>0</v>
          </cell>
          <cell r="I66">
            <v>0</v>
          </cell>
          <cell r="J66">
            <v>0</v>
          </cell>
          <cell r="K66">
            <v>0</v>
          </cell>
          <cell r="L66">
            <v>0</v>
          </cell>
          <cell r="M66">
            <v>0</v>
          </cell>
        </row>
      </sheetData>
      <sheetData sheetId="1"/>
      <sheetData sheetId="2"/>
      <sheetData sheetId="3" refreshError="1"/>
      <sheetData sheetId="4" refreshError="1"/>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AppData/Local/Microsoft/Windows/INetCache/Content.Outlook/Users/cvotroubek/AppData/Local/Microsoft/Windows/INetCache/ryoung2/AppData/Local/Microsoft/Windows/INetCache/Content.Outlook/Prohibited%20formula%20characters/Files%20from%20ADE%203-27-23/TruthinTaxl10" TargetMode="External"/><Relationship Id="rId2" Type="http://schemas.openxmlformats.org/officeDocument/2006/relationships/hyperlink" Target="../../AppData/Local/Microsoft/Windows/INetCache/Content.Outlook/Users/cvotroubek/AppData/Local/Microsoft/Windows/INetCache/ryoung2/AppData/Local/Microsoft/Windows/INetCache/Content.Outlook/Prohibited%20formula%20characters/Files%20from%20ADE%203-27-23/TruthinTaxl7" TargetMode="External"/><Relationship Id="rId1" Type="http://schemas.openxmlformats.org/officeDocument/2006/relationships/hyperlink" Target="../../AppData/Local/Microsoft/Windows/INetCache/Content.Outlook/Users/cvotroubek/AppData/Local/Microsoft/Windows/INetCache/ryoung2/AppData/Local/Microsoft/Windows/INetCache/Content.Outlook/Prohibited%20formula%20characters/Files%20from%20ADE%203-27-23/TruthinTaxl6" TargetMode="External"/><Relationship Id="rId5" Type="http://schemas.openxmlformats.org/officeDocument/2006/relationships/printerSettings" Target="../printerSettings/printerSettings13.bin"/><Relationship Id="rId4" Type="http://schemas.openxmlformats.org/officeDocument/2006/relationships/hyperlink" Target="../TruthInTaxl1"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AppData/Local/Microsoft/Windows/INetCache/Content.Outlook/Users/cvotroubek/AppData/Local/Microsoft/Windows/INetCache/ryoung2/AppData/Local/Microsoft/Windows/INetCache/Content.Outlook/Prohibited%20formula%20characters/Files%20from%20ADE%203-27-23/WkshtK2LIG" TargetMode="External"/><Relationship Id="rId1" Type="http://schemas.openxmlformats.org/officeDocument/2006/relationships/hyperlink" Target="../../AppData/Local/Microsoft/Windows/INetCache/Content.Outlook/Users/cvotroubek/AppData/Local/Microsoft/Windows/INetCache/ryoung2/AppData/Local/Microsoft/Windows/INetCache/Content.Outlook/Prohibited%20formula%20characters/Files%20from%20ADE%203-27-23/WkshtK2LI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8" Type="http://schemas.openxmlformats.org/officeDocument/2006/relationships/hyperlink" Target="mailto:SFBudgetTeam@azed.gov" TargetMode="External"/><Relationship Id="rId13" Type="http://schemas.openxmlformats.org/officeDocument/2006/relationships/hyperlink" Target="mailto:SFBudgetTeam@azed.gov" TargetMode="External"/><Relationship Id="rId18" Type="http://schemas.openxmlformats.org/officeDocument/2006/relationships/hyperlink" Target="https://schoolfinancereports.azed.gov/" TargetMode="External"/><Relationship Id="rId3" Type="http://schemas.openxmlformats.org/officeDocument/2006/relationships/hyperlink" Target="http://www.azed.gov/finance/certificates-of-educational-convenience/" TargetMode="External"/><Relationship Id="rId7" Type="http://schemas.openxmlformats.org/officeDocument/2006/relationships/hyperlink" Target="http://www.azed.gov/mowr/" TargetMode="External"/><Relationship Id="rId12" Type="http://schemas.openxmlformats.org/officeDocument/2006/relationships/hyperlink" Target="mailto:SFBudgetTeam@azed.gov" TargetMode="External"/><Relationship Id="rId17" Type="http://schemas.openxmlformats.org/officeDocument/2006/relationships/hyperlink" Target="mailto:SFBudgetTeam@azed.gov" TargetMode="External"/><Relationship Id="rId2" Type="http://schemas.openxmlformats.org/officeDocument/2006/relationships/hyperlink" Target="http://www.azed.gov/mowr/" TargetMode="External"/><Relationship Id="rId16" Type="http://schemas.openxmlformats.org/officeDocument/2006/relationships/hyperlink" Target="mailto:SFBudgetTeam@azed.gov" TargetMode="External"/><Relationship Id="rId20" Type="http://schemas.openxmlformats.org/officeDocument/2006/relationships/printerSettings" Target="../printerSettings/printerSettings18.bin"/><Relationship Id="rId1" Type="http://schemas.openxmlformats.org/officeDocument/2006/relationships/hyperlink" Target="mailto:SFPaymentTeam@azed.gov" TargetMode="External"/><Relationship Id="rId6" Type="http://schemas.openxmlformats.org/officeDocument/2006/relationships/hyperlink" Target="http://www.azed.gov/finance/certificates-of-educational-convenience/" TargetMode="External"/><Relationship Id="rId11" Type="http://schemas.openxmlformats.org/officeDocument/2006/relationships/hyperlink" Target="mailto:SFBudgetTeam@azed.gov" TargetMode="External"/><Relationship Id="rId5" Type="http://schemas.openxmlformats.org/officeDocument/2006/relationships/hyperlink" Target="https://schoolfinancereports.azed.gov/" TargetMode="External"/><Relationship Id="rId15" Type="http://schemas.openxmlformats.org/officeDocument/2006/relationships/hyperlink" Target="https://www.azed.gov/sites/default/files/2022/06/MO%20Override%20Estimator%20FY23.xlsm" TargetMode="External"/><Relationship Id="rId10" Type="http://schemas.openxmlformats.org/officeDocument/2006/relationships/hyperlink" Target="mailto:SFBudgetTeam@azed.gov" TargetMode="External"/><Relationship Id="rId19" Type="http://schemas.openxmlformats.org/officeDocument/2006/relationships/hyperlink" Target="https://schoolfinancereports.azed.gov/" TargetMode="External"/><Relationship Id="rId4" Type="http://schemas.openxmlformats.org/officeDocument/2006/relationships/hyperlink" Target="mailto:SFAnalystTeam@azed.gov" TargetMode="External"/><Relationship Id="rId9" Type="http://schemas.openxmlformats.org/officeDocument/2006/relationships/hyperlink" Target="mailto:SFPaymentTeam@azed.gov" TargetMode="External"/><Relationship Id="rId14" Type="http://schemas.openxmlformats.org/officeDocument/2006/relationships/hyperlink" Target="mailto:SFBudgetTeam@azed.gov"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X56"/>
  <sheetViews>
    <sheetView showGridLines="0" topLeftCell="E13" zoomScaleNormal="100" workbookViewId="0">
      <selection activeCell="K35" sqref="K35:S39"/>
    </sheetView>
  </sheetViews>
  <sheetFormatPr defaultColWidth="12.81640625" defaultRowHeight="15.6"/>
  <cols>
    <col min="1" max="1" width="4.81640625" style="97" customWidth="1"/>
    <col min="2" max="2" width="14" style="97" customWidth="1"/>
    <col min="3" max="3" width="9" style="97" customWidth="1"/>
    <col min="4" max="4" width="12.81640625" style="97" customWidth="1"/>
    <col min="5" max="5" width="10" style="97" customWidth="1"/>
    <col min="6" max="6" width="9" style="97" customWidth="1"/>
    <col min="7" max="7" width="9.81640625" style="97" customWidth="1"/>
    <col min="8" max="8" width="10.81640625" style="97" customWidth="1"/>
    <col min="9" max="10" width="2.453125" style="97" customWidth="1"/>
    <col min="11" max="11" width="2.81640625" style="97" customWidth="1"/>
    <col min="12" max="12" width="13.54296875" style="97" customWidth="1"/>
    <col min="13" max="13" width="9.81640625" style="97" customWidth="1"/>
    <col min="14" max="14" width="12.81640625" style="97" customWidth="1"/>
    <col min="15" max="15" width="8.81640625" style="97" customWidth="1"/>
    <col min="16" max="16" width="2.81640625" style="97" customWidth="1"/>
    <col min="17" max="17" width="12.81640625" style="97" customWidth="1"/>
    <col min="18" max="18" width="2.81640625" style="97" customWidth="1"/>
    <col min="19" max="19" width="12.81640625" style="97" customWidth="1"/>
    <col min="20" max="20" width="2.81640625" style="97" customWidth="1"/>
    <col min="21" max="21" width="12.81640625" style="97" customWidth="1"/>
    <col min="22" max="22" width="2.54296875" style="97" customWidth="1"/>
    <col min="23" max="23" width="13" style="97" customWidth="1"/>
    <col min="24" max="29" width="12.81640625" style="97" customWidth="1"/>
    <col min="30" max="16384" width="12.81640625" style="97"/>
  </cols>
  <sheetData>
    <row r="1" spans="1:19">
      <c r="A1" s="96"/>
      <c r="B1" s="1270" t="s">
        <v>0</v>
      </c>
      <c r="C1" s="1586" t="s">
        <v>1397</v>
      </c>
      <c r="D1" s="1587"/>
      <c r="E1" s="1587"/>
      <c r="F1" s="1587"/>
      <c r="G1" s="1270" t="s">
        <v>1</v>
      </c>
      <c r="H1" s="1586" t="s">
        <v>1398</v>
      </c>
      <c r="I1" s="1586"/>
      <c r="J1" s="1586"/>
      <c r="K1" s="1586"/>
      <c r="L1" s="96"/>
      <c r="M1" s="1591" t="s">
        <v>691</v>
      </c>
      <c r="N1" s="1591"/>
      <c r="R1" s="1270" t="s">
        <v>2</v>
      </c>
      <c r="S1" s="25" t="s">
        <v>1399</v>
      </c>
    </row>
    <row r="2" spans="1:19" ht="5.25" customHeight="1">
      <c r="A2" s="96"/>
      <c r="B2" s="96"/>
      <c r="C2" s="96"/>
      <c r="D2" s="96"/>
      <c r="E2" s="96"/>
      <c r="F2" s="96"/>
      <c r="G2" s="96"/>
      <c r="H2" s="96"/>
      <c r="I2" s="99"/>
      <c r="J2" s="96"/>
      <c r="K2" s="99"/>
      <c r="L2" s="96"/>
      <c r="M2" s="96"/>
      <c r="N2" s="96"/>
      <c r="O2" s="96"/>
      <c r="P2" s="96"/>
      <c r="Q2" s="96"/>
      <c r="R2" s="100"/>
    </row>
    <row r="3" spans="1:19">
      <c r="A3" s="96"/>
      <c r="B3" s="96"/>
      <c r="C3" s="96"/>
      <c r="D3" s="1271" t="s">
        <v>3</v>
      </c>
      <c r="E3" s="1">
        <v>2027</v>
      </c>
      <c r="F3" s="96"/>
      <c r="G3" s="96"/>
      <c r="H3" s="96"/>
      <c r="I3" s="96"/>
      <c r="K3" s="1316" t="s">
        <v>4</v>
      </c>
      <c r="L3" s="4"/>
      <c r="M3" s="4"/>
      <c r="N3" s="4"/>
      <c r="O3" s="4"/>
      <c r="P3" s="4"/>
      <c r="Q3" s="4"/>
      <c r="R3" s="4"/>
      <c r="S3" s="4"/>
    </row>
    <row r="4" spans="1:19">
      <c r="A4" s="1561" t="s">
        <v>5</v>
      </c>
      <c r="B4" s="1561"/>
      <c r="C4" s="1561"/>
      <c r="D4" s="1561"/>
      <c r="E4" s="1561"/>
      <c r="F4" s="1561"/>
      <c r="G4" s="1561"/>
      <c r="H4" s="1561"/>
      <c r="I4" s="1562"/>
      <c r="J4" s="101"/>
      <c r="K4" s="1271" t="s">
        <v>6</v>
      </c>
      <c r="L4" s="96" t="s">
        <v>1368</v>
      </c>
      <c r="M4" s="4"/>
      <c r="N4" s="4"/>
      <c r="O4" s="1557">
        <v>1600000</v>
      </c>
      <c r="P4" s="1557"/>
      <c r="Q4" s="4"/>
      <c r="R4" s="4"/>
      <c r="S4" s="96"/>
    </row>
    <row r="5" spans="1:19">
      <c r="A5" s="1561" t="s">
        <v>7</v>
      </c>
      <c r="B5" s="1561"/>
      <c r="C5" s="1561"/>
      <c r="D5" s="1561"/>
      <c r="E5" s="1561"/>
      <c r="F5" s="1561"/>
      <c r="G5" s="1561"/>
      <c r="H5" s="1561"/>
      <c r="I5" s="1562"/>
      <c r="J5" s="101"/>
      <c r="K5" s="1271" t="s">
        <v>8</v>
      </c>
      <c r="L5" s="96" t="s">
        <v>1369</v>
      </c>
      <c r="M5" s="96"/>
      <c r="N5" s="96"/>
      <c r="O5" s="96"/>
      <c r="P5" s="96"/>
      <c r="Q5" s="96"/>
      <c r="R5" s="96"/>
      <c r="S5" s="96"/>
    </row>
    <row r="6" spans="1:19" ht="15.75" customHeight="1">
      <c r="A6" s="1561" t="s">
        <v>9</v>
      </c>
      <c r="B6" s="1561"/>
      <c r="C6" s="1561"/>
      <c r="D6" s="1561"/>
      <c r="E6" s="1561"/>
      <c r="F6" s="1561"/>
      <c r="G6" s="1561"/>
      <c r="H6" s="1561"/>
      <c r="I6" s="1562"/>
      <c r="J6" s="101"/>
      <c r="K6" s="1271"/>
      <c r="L6" s="96" t="s">
        <v>10</v>
      </c>
      <c r="M6" s="1271" t="s">
        <v>11</v>
      </c>
      <c r="N6" s="15">
        <v>36333</v>
      </c>
      <c r="O6" s="1559"/>
      <c r="P6" s="1559"/>
      <c r="Q6" s="1559"/>
      <c r="R6" s="1559"/>
      <c r="S6" s="1559"/>
    </row>
    <row r="7" spans="1:19" ht="17.25" customHeight="1">
      <c r="A7" s="96"/>
      <c r="B7" s="96"/>
      <c r="C7" s="96"/>
      <c r="D7" s="96"/>
      <c r="E7" s="96"/>
      <c r="F7" s="96"/>
      <c r="G7" s="96"/>
      <c r="I7" s="96"/>
      <c r="J7" s="101"/>
      <c r="K7" s="1271"/>
      <c r="L7" s="96" t="s">
        <v>12</v>
      </c>
      <c r="M7" s="1271" t="s">
        <v>13</v>
      </c>
      <c r="N7" s="15"/>
      <c r="O7" s="1559"/>
      <c r="P7" s="1559"/>
      <c r="Q7" s="1559"/>
      <c r="R7" s="1559"/>
      <c r="S7" s="1559"/>
    </row>
    <row r="8" spans="1:19" ht="15.75" customHeight="1">
      <c r="A8" s="103"/>
      <c r="B8" s="103"/>
      <c r="C8" s="1560" t="s">
        <v>1400</v>
      </c>
      <c r="D8" s="1560"/>
      <c r="E8" s="1560"/>
      <c r="F8" s="1560"/>
      <c r="G8" s="1560"/>
      <c r="H8" s="103"/>
      <c r="I8" s="103"/>
      <c r="J8" s="101"/>
      <c r="K8" s="1271"/>
      <c r="L8" s="96" t="s">
        <v>14</v>
      </c>
      <c r="M8" s="1271" t="s">
        <v>15</v>
      </c>
      <c r="N8" s="15">
        <v>1033796</v>
      </c>
      <c r="O8" s="1559" t="str">
        <f>IF(OR('Page 7'!J10&gt;'Page 7'!H10,'Page 7'!J17&gt;'Page 7'!H17),"Please correct error on Page 7","")</f>
        <v/>
      </c>
      <c r="P8" s="1559"/>
      <c r="Q8" s="1559"/>
      <c r="R8" s="1559"/>
      <c r="S8" s="1559"/>
    </row>
    <row r="9" spans="1:19" ht="15.75" customHeight="1">
      <c r="A9" s="4"/>
      <c r="B9" s="4"/>
      <c r="C9" s="1572" t="s">
        <v>16</v>
      </c>
      <c r="D9" s="1572"/>
      <c r="E9" s="1572"/>
      <c r="F9" s="1572"/>
      <c r="G9" s="1572"/>
      <c r="H9" s="4"/>
      <c r="I9" s="3"/>
      <c r="J9" s="101"/>
      <c r="K9" s="1271"/>
      <c r="L9" s="96" t="s">
        <v>17</v>
      </c>
      <c r="M9" s="1271" t="s">
        <v>18</v>
      </c>
      <c r="N9" s="15">
        <v>161935</v>
      </c>
      <c r="O9" s="1559" t="str">
        <f>IF('Data Entry'!G16="","Please enter a SIS vendor on the Data Entry tab","")</f>
        <v/>
      </c>
      <c r="P9" s="1559"/>
      <c r="Q9" s="1559"/>
      <c r="R9" s="1559"/>
      <c r="S9" s="1559"/>
    </row>
    <row r="10" spans="1:19" ht="16.2" thickBot="1">
      <c r="A10" s="1565" t="s">
        <v>19</v>
      </c>
      <c r="B10" s="1566"/>
      <c r="C10" s="1566"/>
      <c r="D10" s="1566"/>
      <c r="E10" s="1566"/>
      <c r="F10" s="1566"/>
      <c r="G10" s="1566"/>
      <c r="H10" s="1566"/>
      <c r="I10" s="1567"/>
      <c r="J10" s="101"/>
      <c r="K10" s="1271"/>
      <c r="L10" s="96" t="s">
        <v>20</v>
      </c>
      <c r="M10" s="1271" t="s">
        <v>21</v>
      </c>
      <c r="N10" s="104">
        <f>SUM(N6:N9)</f>
        <v>1232064</v>
      </c>
      <c r="O10" s="1559"/>
      <c r="P10" s="1559"/>
      <c r="Q10" s="1559"/>
      <c r="R10" s="1559"/>
      <c r="S10" s="1559"/>
    </row>
    <row r="11" spans="1:19" ht="16.2" thickTop="1">
      <c r="A11" s="1566"/>
      <c r="B11" s="1566"/>
      <c r="C11" s="1566"/>
      <c r="D11" s="1566"/>
      <c r="E11" s="1566"/>
      <c r="F11" s="1566"/>
      <c r="G11" s="1566"/>
      <c r="H11" s="1566"/>
      <c r="I11" s="1567"/>
      <c r="J11" s="101"/>
      <c r="K11" s="1271" t="s">
        <v>22</v>
      </c>
      <c r="L11" s="1474" t="s">
        <v>23</v>
      </c>
      <c r="M11" s="106"/>
      <c r="N11" s="106"/>
      <c r="O11" s="106"/>
      <c r="P11" s="106"/>
      <c r="Q11" s="96"/>
      <c r="R11" s="96"/>
      <c r="S11" s="96"/>
    </row>
    <row r="12" spans="1:19" ht="15" customHeight="1">
      <c r="A12" s="1561" t="s">
        <v>1370</v>
      </c>
      <c r="B12" s="1561"/>
      <c r="C12" s="1561"/>
      <c r="D12" s="1561"/>
      <c r="E12" s="1561"/>
      <c r="F12" s="1561"/>
      <c r="G12" s="1561"/>
      <c r="H12" s="1561"/>
      <c r="I12" s="1562"/>
      <c r="J12" s="101"/>
      <c r="K12" s="96"/>
      <c r="L12" s="96"/>
      <c r="M12" s="96"/>
      <c r="N12" s="4" t="s">
        <v>1371</v>
      </c>
      <c r="O12" s="4"/>
      <c r="P12" s="96"/>
      <c r="Q12" s="4" t="s">
        <v>1372</v>
      </c>
      <c r="R12" s="4"/>
      <c r="S12" s="96"/>
    </row>
    <row r="13" spans="1:19">
      <c r="A13" s="96"/>
      <c r="B13" s="96"/>
      <c r="C13" s="1" t="s">
        <v>24</v>
      </c>
      <c r="D13" s="96"/>
      <c r="E13" s="1563">
        <v>46195</v>
      </c>
      <c r="F13" s="1564"/>
      <c r="G13" s="107" t="str">
        <f>IF(AND(OR(ISNUMBER(SEARCH("Proposed*",C8)),ISNUMBER(SEARCH("Adopted*",C8)),ISNUMBER(SEARCH("Revised*",C8))),E13=""),"Please enter a Proposed Date","")</f>
        <v/>
      </c>
      <c r="H13" s="96"/>
      <c r="I13" s="96"/>
      <c r="J13" s="101"/>
      <c r="K13" s="96"/>
      <c r="L13" s="96" t="s">
        <v>25</v>
      </c>
      <c r="M13" s="96"/>
      <c r="N13" s="17">
        <v>5.6740000000000004</v>
      </c>
      <c r="O13" s="108"/>
      <c r="P13" s="109"/>
      <c r="Q13" s="17">
        <v>5.2765000000000004</v>
      </c>
      <c r="R13" s="108"/>
      <c r="S13" s="1475"/>
    </row>
    <row r="14" spans="1:19">
      <c r="A14" s="96"/>
      <c r="B14" s="96"/>
      <c r="C14" s="1" t="s">
        <v>26</v>
      </c>
      <c r="D14" s="96"/>
      <c r="E14" s="1558"/>
      <c r="F14" s="1558"/>
      <c r="G14" s="107" t="str">
        <f>IF(AND(OR(ISNUMBER(SEARCH("Adopted*",C8)),ISNUMBER(SEARCH("Revised*",C8))),E14=""),"Please enter an Adopted Date","")</f>
        <v/>
      </c>
      <c r="H14" s="96"/>
      <c r="I14" s="96"/>
      <c r="J14" s="101"/>
      <c r="K14" s="96"/>
      <c r="L14" s="96" t="s">
        <v>27</v>
      </c>
      <c r="M14" s="96"/>
      <c r="N14" s="108"/>
      <c r="O14" s="108"/>
      <c r="P14" s="109"/>
      <c r="Q14" s="110"/>
      <c r="R14" s="110"/>
      <c r="S14" s="96"/>
    </row>
    <row r="15" spans="1:19">
      <c r="A15" s="96"/>
      <c r="B15" s="96"/>
      <c r="C15" s="1" t="s">
        <v>28</v>
      </c>
      <c r="D15" s="96"/>
      <c r="E15" s="1558"/>
      <c r="F15" s="1558"/>
      <c r="G15" s="111" t="str">
        <f>IF(AND(ISNUMBER(SEARCH("Revised*",C8)),E15=""),"Please enter a Revised Date","")</f>
        <v/>
      </c>
      <c r="H15" s="96"/>
      <c r="I15" s="96"/>
      <c r="J15" s="101"/>
      <c r="K15" s="96"/>
      <c r="L15" s="96" t="s">
        <v>29</v>
      </c>
      <c r="M15" s="96"/>
      <c r="N15" s="17"/>
      <c r="O15" s="108"/>
      <c r="P15" s="109"/>
      <c r="Q15" s="17"/>
      <c r="R15" s="108"/>
      <c r="S15" s="96"/>
    </row>
    <row r="16" spans="1:19" ht="15" customHeight="1">
      <c r="A16" s="96"/>
      <c r="B16" s="96"/>
      <c r="E16" s="1572" t="s">
        <v>30</v>
      </c>
      <c r="F16" s="1572"/>
      <c r="G16" s="96"/>
      <c r="H16" s="96"/>
      <c r="I16" s="96"/>
      <c r="J16" s="101"/>
      <c r="K16" s="96"/>
      <c r="L16" s="96" t="s">
        <v>31</v>
      </c>
      <c r="M16" s="96"/>
      <c r="N16" s="16"/>
      <c r="O16" s="108"/>
      <c r="P16" s="109"/>
      <c r="Q16" s="16"/>
      <c r="R16" s="108"/>
      <c r="S16" s="96"/>
    </row>
    <row r="17" spans="1:24" ht="15.75" customHeight="1">
      <c r="A17" s="112"/>
      <c r="B17" s="1592" t="s">
        <v>907</v>
      </c>
      <c r="C17" s="1592"/>
      <c r="D17" s="1592"/>
      <c r="E17" s="1555"/>
      <c r="F17" s="1555"/>
      <c r="G17" s="1555"/>
      <c r="H17" s="1555"/>
      <c r="I17" s="113"/>
      <c r="J17" s="101"/>
      <c r="K17" s="96"/>
      <c r="L17" s="96" t="s">
        <v>32</v>
      </c>
      <c r="M17" s="96"/>
      <c r="N17" s="16"/>
      <c r="O17" s="108"/>
      <c r="P17" s="109"/>
      <c r="Q17" s="16"/>
      <c r="R17" s="108"/>
      <c r="S17" s="96"/>
    </row>
    <row r="18" spans="1:24">
      <c r="A18" s="114"/>
      <c r="B18" s="112"/>
      <c r="C18" s="112"/>
      <c r="D18" s="112"/>
      <c r="E18" s="1556"/>
      <c r="F18" s="1556"/>
      <c r="G18" s="1556"/>
      <c r="H18" s="1556"/>
      <c r="I18" s="113"/>
      <c r="J18" s="101"/>
      <c r="K18" s="96"/>
      <c r="L18" s="1" t="s">
        <v>33</v>
      </c>
      <c r="M18" s="4"/>
      <c r="N18" s="16"/>
      <c r="O18" s="108"/>
      <c r="P18" s="109"/>
      <c r="Q18" s="16"/>
      <c r="R18" s="108"/>
      <c r="S18" s="96"/>
      <c r="W18" s="1585" t="str">
        <f>'Page 8'!L24</f>
        <v/>
      </c>
      <c r="X18" s="1585"/>
    </row>
    <row r="19" spans="1:24">
      <c r="A19" s="96"/>
      <c r="B19" s="96"/>
      <c r="C19" s="1568"/>
      <c r="D19" s="1568"/>
      <c r="E19" s="96"/>
      <c r="F19" s="1568"/>
      <c r="G19" s="1568"/>
      <c r="H19" s="96"/>
      <c r="I19" s="96"/>
      <c r="J19" s="101"/>
      <c r="K19" s="96"/>
      <c r="L19" s="1" t="s">
        <v>34</v>
      </c>
      <c r="M19" s="96"/>
      <c r="N19" s="16"/>
      <c r="O19" s="108"/>
      <c r="P19" s="109"/>
      <c r="Q19" s="16"/>
      <c r="R19" s="108"/>
      <c r="S19" s="96"/>
      <c r="W19" s="1585"/>
      <c r="X19" s="1585"/>
    </row>
    <row r="20" spans="1:24">
      <c r="A20" s="96"/>
      <c r="B20" s="96"/>
      <c r="C20" s="1569"/>
      <c r="D20" s="1569"/>
      <c r="E20" s="96"/>
      <c r="F20" s="1569"/>
      <c r="G20" s="1569"/>
      <c r="H20" s="96"/>
      <c r="I20" s="96"/>
      <c r="J20" s="101"/>
      <c r="K20" s="96"/>
      <c r="L20" s="96" t="s">
        <v>35</v>
      </c>
      <c r="M20" s="96"/>
      <c r="N20" s="17"/>
      <c r="O20" s="108"/>
      <c r="P20" s="96"/>
      <c r="Q20" s="17"/>
      <c r="R20" s="108"/>
      <c r="S20" s="96"/>
      <c r="W20" s="1585"/>
      <c r="X20" s="1585"/>
    </row>
    <row r="21" spans="1:24">
      <c r="A21" s="96"/>
      <c r="B21" s="96"/>
      <c r="C21" s="1569"/>
      <c r="D21" s="1569"/>
      <c r="E21" s="96"/>
      <c r="F21" s="1569"/>
      <c r="G21" s="1569"/>
      <c r="H21" s="96"/>
      <c r="I21" s="96"/>
      <c r="J21" s="101"/>
      <c r="K21" s="96"/>
      <c r="L21" s="96" t="s">
        <v>36</v>
      </c>
      <c r="M21" s="96"/>
      <c r="N21" s="17"/>
      <c r="O21" s="108"/>
      <c r="P21" s="96"/>
      <c r="Q21" s="17"/>
      <c r="R21" s="108"/>
      <c r="S21" s="96"/>
      <c r="W21" s="1585"/>
      <c r="X21" s="1585"/>
    </row>
    <row r="22" spans="1:24" ht="16.2" thickBot="1">
      <c r="A22" s="96"/>
      <c r="B22" s="96"/>
      <c r="C22" s="1569"/>
      <c r="D22" s="1569"/>
      <c r="E22" s="96"/>
      <c r="F22" s="1569"/>
      <c r="G22" s="1569"/>
      <c r="H22" s="96"/>
      <c r="I22" s="96"/>
      <c r="J22" s="101"/>
      <c r="K22" s="96"/>
      <c r="L22" s="96" t="s">
        <v>37</v>
      </c>
      <c r="M22" s="96"/>
      <c r="N22" s="115">
        <f>SUM(N15:N21)</f>
        <v>0</v>
      </c>
      <c r="O22" s="108"/>
      <c r="P22" s="96"/>
      <c r="Q22" s="115">
        <f>SUM(Q15:Q21)</f>
        <v>0</v>
      </c>
      <c r="R22" s="108"/>
      <c r="S22" s="4"/>
      <c r="W22" s="1585"/>
      <c r="X22" s="1585"/>
    </row>
    <row r="23" spans="1:24" ht="16.2" thickTop="1">
      <c r="A23" s="96"/>
      <c r="B23" s="96"/>
      <c r="C23" s="1569"/>
      <c r="D23" s="1569"/>
      <c r="E23" s="96"/>
      <c r="F23" s="1569"/>
      <c r="G23" s="1569"/>
      <c r="H23" s="96"/>
      <c r="I23" s="96"/>
      <c r="J23" s="101"/>
      <c r="K23" s="116" t="s">
        <v>38</v>
      </c>
      <c r="M23" s="96"/>
      <c r="N23" s="96"/>
      <c r="O23" s="96"/>
      <c r="P23" s="96"/>
      <c r="Q23" s="96"/>
      <c r="R23" s="96"/>
      <c r="S23" s="96"/>
      <c r="W23" s="1585"/>
      <c r="X23" s="1585"/>
    </row>
    <row r="24" spans="1:24">
      <c r="A24" s="96"/>
      <c r="B24" s="96"/>
      <c r="C24" s="1569"/>
      <c r="D24" s="1569"/>
      <c r="E24" s="96"/>
      <c r="F24" s="1569"/>
      <c r="G24" s="1569"/>
      <c r="H24" s="96"/>
      <c r="I24" s="96"/>
      <c r="J24" s="101"/>
      <c r="K24" s="116"/>
      <c r="M24" s="96"/>
      <c r="N24" s="96"/>
      <c r="O24" s="96"/>
      <c r="P24" s="96"/>
      <c r="Q24" s="117" t="s">
        <v>1040</v>
      </c>
      <c r="R24" s="117"/>
      <c r="S24" s="117" t="s">
        <v>1061</v>
      </c>
      <c r="T24" s="117"/>
      <c r="U24" s="117" t="s">
        <v>1062</v>
      </c>
      <c r="W24" s="1585"/>
      <c r="X24" s="1585"/>
    </row>
    <row r="25" spans="1:24">
      <c r="A25" s="96"/>
      <c r="B25" s="96"/>
      <c r="C25" s="1569"/>
      <c r="D25" s="1569"/>
      <c r="E25" s="96"/>
      <c r="F25" s="1569"/>
      <c r="G25" s="1569"/>
      <c r="H25" s="96"/>
      <c r="I25" s="96"/>
      <c r="J25" s="101"/>
      <c r="K25" s="1271" t="s">
        <v>6</v>
      </c>
      <c r="L25" s="96" t="s">
        <v>935</v>
      </c>
      <c r="M25" s="96"/>
      <c r="N25" s="96"/>
      <c r="O25" s="96"/>
      <c r="P25" s="1271" t="s">
        <v>21</v>
      </c>
      <c r="Q25" s="102">
        <f>F001TotalExp</f>
        <v>1424593</v>
      </c>
      <c r="R25" s="1271" t="s">
        <v>21</v>
      </c>
      <c r="S25" s="102">
        <f>F001Carryforward</f>
        <v>3244</v>
      </c>
      <c r="T25" s="1271" t="s">
        <v>21</v>
      </c>
      <c r="U25" s="102">
        <f>GBLBudgFY</f>
        <v>1427837</v>
      </c>
      <c r="V25" s="118" t="str">
        <f>IF((Q25+S25)&gt;U25,"GBL Exceeded","")</f>
        <v/>
      </c>
    </row>
    <row r="26" spans="1:24">
      <c r="A26" s="96"/>
      <c r="B26" s="96"/>
      <c r="C26" s="1582" t="s">
        <v>39</v>
      </c>
      <c r="D26" s="1582"/>
      <c r="E26" s="119"/>
      <c r="F26" s="1582" t="s">
        <v>39</v>
      </c>
      <c r="G26" s="1582"/>
      <c r="H26" s="96"/>
      <c r="I26" s="96"/>
      <c r="J26" s="101"/>
      <c r="K26" s="1271" t="s">
        <v>8</v>
      </c>
      <c r="L26" s="96" t="s">
        <v>936</v>
      </c>
      <c r="M26" s="96"/>
      <c r="N26" s="96"/>
      <c r="O26" s="96"/>
      <c r="P26" s="1271" t="s">
        <v>21</v>
      </c>
      <c r="Q26" s="102">
        <f>F610TotalBudgFY</f>
        <v>71500</v>
      </c>
      <c r="R26" s="1271" t="s">
        <v>21</v>
      </c>
      <c r="S26" s="102">
        <f>F610Carryforward</f>
        <v>143848</v>
      </c>
      <c r="T26" s="1271" t="s">
        <v>21</v>
      </c>
      <c r="U26" s="102">
        <f>UCBLBudgFY</f>
        <v>215348</v>
      </c>
      <c r="V26" s="118" t="str">
        <f>IF((Q26+S26)&gt;U26,"UCBL Exceeded","")</f>
        <v/>
      </c>
    </row>
    <row r="27" spans="1:24">
      <c r="A27" s="96"/>
      <c r="B27" s="96"/>
      <c r="C27" s="96"/>
      <c r="D27" s="96"/>
      <c r="E27" s="96"/>
      <c r="F27" s="96"/>
      <c r="G27" s="96"/>
      <c r="H27" s="96"/>
      <c r="I27" s="96"/>
      <c r="J27" s="101"/>
      <c r="K27" s="120" t="s">
        <v>22</v>
      </c>
      <c r="L27" s="96" t="s">
        <v>937</v>
      </c>
      <c r="M27" s="96"/>
      <c r="N27" s="96"/>
      <c r="O27" s="96"/>
      <c r="P27" s="96"/>
      <c r="T27" s="1271" t="s">
        <v>21</v>
      </c>
      <c r="U27" s="102">
        <f>TotFedProjFundBudgFY-F378BudgFY</f>
        <v>103002</v>
      </c>
    </row>
    <row r="28" spans="1:24" ht="16.2" thickBot="1">
      <c r="A28" s="96"/>
      <c r="C28" s="96" t="s">
        <v>1373</v>
      </c>
      <c r="D28" s="96"/>
      <c r="E28" s="96"/>
      <c r="F28" s="96"/>
      <c r="G28" s="96"/>
      <c r="H28" s="96"/>
      <c r="I28" s="96"/>
      <c r="J28" s="101"/>
      <c r="K28" s="120" t="s">
        <v>40</v>
      </c>
      <c r="L28" s="96" t="s">
        <v>41</v>
      </c>
      <c r="M28" s="96"/>
      <c r="N28" s="96"/>
      <c r="O28" s="96"/>
      <c r="P28" s="96"/>
      <c r="T28" s="1271" t="s">
        <v>21</v>
      </c>
      <c r="U28" s="104">
        <f>SUM(U25+U26+U27)</f>
        <v>1746187</v>
      </c>
    </row>
    <row r="29" spans="1:24" ht="16.5" customHeight="1" thickTop="1">
      <c r="A29" s="96"/>
      <c r="B29" s="97" t="s">
        <v>42</v>
      </c>
      <c r="C29" s="96" t="s">
        <v>43</v>
      </c>
      <c r="D29" s="1299"/>
      <c r="F29" s="1593">
        <v>46198</v>
      </c>
      <c r="G29" s="1593"/>
      <c r="H29" s="121" t="s">
        <v>44</v>
      </c>
      <c r="I29" s="122"/>
      <c r="J29" s="101"/>
      <c r="S29" s="123"/>
    </row>
    <row r="30" spans="1:24" ht="16.5" customHeight="1">
      <c r="A30" s="96"/>
      <c r="B30" s="1561"/>
      <c r="C30" s="1561"/>
      <c r="D30" s="124"/>
      <c r="E30" s="96"/>
      <c r="F30" s="1584" t="s">
        <v>30</v>
      </c>
      <c r="G30" s="1584"/>
      <c r="H30" s="96"/>
      <c r="I30" s="96"/>
      <c r="J30" s="101"/>
      <c r="K30" s="1311" t="s">
        <v>45</v>
      </c>
      <c r="L30" s="1311"/>
      <c r="M30" s="1311"/>
      <c r="N30" s="1311"/>
      <c r="O30" s="1311"/>
      <c r="P30" s="1311"/>
      <c r="Q30" s="1311"/>
      <c r="R30" s="123"/>
    </row>
    <row r="31" spans="1:24" ht="14.25" customHeight="1" thickBot="1">
      <c r="A31" s="96"/>
      <c r="B31" s="96"/>
      <c r="C31" s="96"/>
      <c r="D31" s="96"/>
      <c r="E31" s="1306"/>
      <c r="F31" s="125" t="str">
        <f>IF(F29="","Please enter upload by date",IF(F29&gt;=MAX(E13,E14,E15),"","Revise upload date for current submission"))</f>
        <v/>
      </c>
      <c r="G31" s="96"/>
      <c r="H31" s="1306"/>
      <c r="I31" s="96"/>
      <c r="J31" s="101"/>
      <c r="K31" s="120" t="s">
        <v>6</v>
      </c>
      <c r="L31" s="96" t="s">
        <v>1374</v>
      </c>
      <c r="M31" s="1277"/>
      <c r="N31" s="1277"/>
      <c r="O31" s="96"/>
      <c r="P31" s="1589" t="str">
        <f>IF(V32&lt;&gt;"","",IF(OR(S31=0,S32=0),"Average salary information is not complete",""))</f>
        <v/>
      </c>
      <c r="Q31" s="1589"/>
      <c r="R31" s="1271" t="s">
        <v>21</v>
      </c>
      <c r="S31" s="15">
        <v>43275</v>
      </c>
      <c r="T31" s="126" t="str">
        <f>IF(V32&lt;&gt;"","",IF(OR(S31=0,S32=0),1/ERROR,""))</f>
        <v/>
      </c>
    </row>
    <row r="32" spans="1:24" ht="17.25" customHeight="1" thickBot="1">
      <c r="A32" s="96"/>
      <c r="B32" s="1560"/>
      <c r="C32" s="1560"/>
      <c r="D32" s="1560"/>
      <c r="E32" s="96"/>
      <c r="F32" s="1568"/>
      <c r="G32" s="1568"/>
      <c r="H32" s="1568"/>
      <c r="I32" s="96"/>
      <c r="J32" s="101"/>
      <c r="K32" s="120" t="s">
        <v>8</v>
      </c>
      <c r="L32" s="96" t="s">
        <v>1375</v>
      </c>
      <c r="M32" s="96"/>
      <c r="N32" s="96"/>
      <c r="O32" s="96"/>
      <c r="P32" s="1589"/>
      <c r="Q32" s="1589"/>
      <c r="R32" s="1271" t="s">
        <v>21</v>
      </c>
      <c r="S32" s="15">
        <v>46780</v>
      </c>
      <c r="V32" s="58"/>
      <c r="W32" s="1588" t="s">
        <v>46</v>
      </c>
      <c r="X32" s="1588"/>
    </row>
    <row r="33" spans="1:24" ht="17.25" customHeight="1">
      <c r="A33" s="96"/>
      <c r="B33" s="1572" t="s">
        <v>47</v>
      </c>
      <c r="C33" s="1572"/>
      <c r="D33" s="1572"/>
      <c r="E33" s="96"/>
      <c r="F33" s="1561" t="s">
        <v>48</v>
      </c>
      <c r="G33" s="1561"/>
      <c r="H33" s="1561"/>
      <c r="I33" s="96"/>
      <c r="J33" s="101"/>
      <c r="K33" s="120" t="s">
        <v>22</v>
      </c>
      <c r="L33" s="96" t="s">
        <v>49</v>
      </c>
      <c r="M33" s="96"/>
      <c r="N33" s="96"/>
      <c r="O33" s="96"/>
      <c r="P33" s="1589"/>
      <c r="Q33" s="1589"/>
      <c r="R33" s="1271" t="s">
        <v>21</v>
      </c>
      <c r="S33" s="127">
        <f>BudgetYearSalary-PriorYearSalary</f>
        <v>-3505</v>
      </c>
      <c r="W33" s="1588"/>
      <c r="X33" s="1588"/>
    </row>
    <row r="34" spans="1:24">
      <c r="A34" s="96"/>
      <c r="B34" s="96"/>
      <c r="C34" s="96"/>
      <c r="D34" s="96"/>
      <c r="E34" s="96"/>
      <c r="F34" s="96"/>
      <c r="G34" s="96"/>
      <c r="H34" s="96"/>
      <c r="I34" s="96"/>
      <c r="J34" s="101"/>
      <c r="K34" s="120" t="s">
        <v>40</v>
      </c>
      <c r="L34" s="96" t="s">
        <v>50</v>
      </c>
      <c r="M34" s="96"/>
      <c r="N34" s="96"/>
      <c r="O34" s="128"/>
      <c r="P34" s="1590"/>
      <c r="Q34" s="1590"/>
      <c r="R34" s="1271"/>
      <c r="S34" s="129">
        <f>IF(PriorYearSalary&gt;0,SalaryIncrease/PriorYearSalary,0)</f>
        <v>-7.0000000000000007E-2</v>
      </c>
    </row>
    <row r="35" spans="1:24" ht="18" customHeight="1">
      <c r="A35" s="96"/>
      <c r="B35" s="1564" t="s">
        <v>1401</v>
      </c>
      <c r="C35" s="1564"/>
      <c r="D35" s="1564"/>
      <c r="E35" s="96"/>
      <c r="F35" s="1560" t="s">
        <v>1402</v>
      </c>
      <c r="G35" s="1560"/>
      <c r="H35" s="1560"/>
      <c r="I35" s="96"/>
      <c r="J35" s="101"/>
      <c r="K35" s="1573" t="s">
        <v>1404</v>
      </c>
      <c r="L35" s="1574"/>
      <c r="M35" s="1574"/>
      <c r="N35" s="1574"/>
      <c r="O35" s="1574"/>
      <c r="P35" s="1574"/>
      <c r="Q35" s="1574"/>
      <c r="R35" s="1574"/>
      <c r="S35" s="1575"/>
    </row>
    <row r="36" spans="1:24" ht="15" customHeight="1">
      <c r="A36" s="96"/>
      <c r="B36" s="1572" t="s">
        <v>51</v>
      </c>
      <c r="C36" s="1572"/>
      <c r="D36" s="1572"/>
      <c r="E36" s="96"/>
      <c r="F36" s="1561" t="s">
        <v>52</v>
      </c>
      <c r="G36" s="1561"/>
      <c r="H36" s="1561"/>
      <c r="I36" s="96"/>
      <c r="J36" s="101"/>
      <c r="K36" s="1576"/>
      <c r="L36" s="1577"/>
      <c r="M36" s="1577"/>
      <c r="N36" s="1577"/>
      <c r="O36" s="1577"/>
      <c r="P36" s="1577"/>
      <c r="Q36" s="1577"/>
      <c r="R36" s="1577"/>
      <c r="S36" s="1578"/>
    </row>
    <row r="37" spans="1:24" ht="15" customHeight="1">
      <c r="A37" s="96"/>
      <c r="B37" s="4"/>
      <c r="C37" s="4"/>
      <c r="D37" s="4"/>
      <c r="E37" s="96"/>
      <c r="F37" s="4"/>
      <c r="G37" s="4"/>
      <c r="H37" s="4"/>
      <c r="I37" s="96"/>
      <c r="J37" s="130"/>
      <c r="K37" s="1576"/>
      <c r="L37" s="1577"/>
      <c r="M37" s="1577"/>
      <c r="N37" s="1577"/>
      <c r="O37" s="1577"/>
      <c r="P37" s="1577"/>
      <c r="Q37" s="1577"/>
      <c r="R37" s="1577"/>
      <c r="S37" s="1578"/>
    </row>
    <row r="38" spans="1:24" ht="15" customHeight="1">
      <c r="A38" s="96"/>
      <c r="B38" s="1583" t="s">
        <v>53</v>
      </c>
      <c r="C38" s="1583"/>
      <c r="D38" s="1560"/>
      <c r="E38" s="1560"/>
      <c r="F38" s="1560"/>
      <c r="G38" s="1560"/>
      <c r="H38" s="96"/>
      <c r="I38" s="96"/>
      <c r="J38" s="131"/>
      <c r="K38" s="1576"/>
      <c r="L38" s="1577"/>
      <c r="M38" s="1577"/>
      <c r="N38" s="1577"/>
      <c r="O38" s="1577"/>
      <c r="P38" s="1577"/>
      <c r="Q38" s="1577"/>
      <c r="R38" s="1577"/>
      <c r="S38" s="1578"/>
    </row>
    <row r="39" spans="1:24" ht="15" customHeight="1">
      <c r="A39" s="100"/>
      <c r="B39" s="1"/>
      <c r="C39" s="1"/>
      <c r="D39" s="4"/>
      <c r="E39" s="4"/>
      <c r="F39" s="4"/>
      <c r="G39" s="2"/>
      <c r="H39" s="96"/>
      <c r="I39" s="132"/>
      <c r="J39" s="133"/>
      <c r="K39" s="1579"/>
      <c r="L39" s="1580"/>
      <c r="M39" s="1580"/>
      <c r="N39" s="1580"/>
      <c r="O39" s="1580"/>
      <c r="P39" s="1580"/>
      <c r="Q39" s="1580"/>
      <c r="R39" s="1580"/>
      <c r="S39" s="1581"/>
      <c r="V39" s="1151">
        <f>E3-1</f>
        <v>2026</v>
      </c>
    </row>
    <row r="40" spans="1:24" ht="15" customHeight="1">
      <c r="A40" s="134"/>
      <c r="B40" s="96" t="s">
        <v>54</v>
      </c>
      <c r="C40" s="1570"/>
      <c r="D40" s="1570"/>
      <c r="E40" s="96"/>
      <c r="F40" s="1271" t="s">
        <v>55</v>
      </c>
      <c r="G40" s="1571"/>
      <c r="H40" s="1560"/>
      <c r="I40" s="132"/>
      <c r="J40" s="135"/>
      <c r="K40" s="120"/>
      <c r="L40" s="96"/>
      <c r="M40" s="96"/>
      <c r="N40" s="96"/>
      <c r="O40" s="123"/>
      <c r="P40" s="123"/>
      <c r="Q40" s="96"/>
      <c r="R40" s="1271"/>
      <c r="S40" s="136"/>
      <c r="V40" s="1151">
        <f>E3-2</f>
        <v>2025</v>
      </c>
    </row>
    <row r="41" spans="1:24" ht="15.75" customHeight="1">
      <c r="A41" s="134"/>
      <c r="B41" s="96"/>
      <c r="C41" s="96"/>
      <c r="D41" s="96"/>
      <c r="E41" s="1287"/>
      <c r="F41" s="96"/>
      <c r="G41" s="96"/>
      <c r="H41" s="96"/>
      <c r="I41" s="132"/>
      <c r="J41" s="137"/>
      <c r="K41" s="120"/>
      <c r="L41" s="96"/>
      <c r="R41" s="1271"/>
      <c r="S41" s="129"/>
      <c r="T41" s="137"/>
    </row>
    <row r="42" spans="1:24">
      <c r="A42" s="138"/>
      <c r="B42" s="96"/>
      <c r="C42" s="96"/>
      <c r="D42" s="96"/>
      <c r="E42" s="1287"/>
      <c r="F42" s="96"/>
      <c r="G42" s="96"/>
      <c r="H42" s="96"/>
      <c r="J42" s="139"/>
      <c r="K42" s="140"/>
      <c r="L42" s="139"/>
      <c r="M42" s="141"/>
      <c r="N42" s="141"/>
      <c r="O42" s="141"/>
      <c r="P42" s="141"/>
      <c r="Q42" s="142"/>
      <c r="R42" s="142"/>
      <c r="S42" s="143"/>
      <c r="T42" s="137"/>
    </row>
    <row r="43" spans="1:24" ht="6.75" customHeight="1">
      <c r="B43" s="100"/>
      <c r="C43" s="1287"/>
      <c r="D43" s="1287"/>
      <c r="E43" s="144"/>
      <c r="F43" s="1287"/>
      <c r="G43" s="1287"/>
      <c r="H43" s="1287"/>
      <c r="S43" s="145"/>
    </row>
    <row r="44" spans="1:24">
      <c r="E44" s="144"/>
      <c r="F44" s="144"/>
      <c r="G44" s="146"/>
      <c r="H44" s="144"/>
    </row>
    <row r="45" spans="1:24">
      <c r="E45" s="138"/>
      <c r="F45" s="144"/>
      <c r="G45" s="144"/>
      <c r="H45" s="144"/>
    </row>
    <row r="56" spans="2:2">
      <c r="B56" s="147"/>
    </row>
  </sheetData>
  <sheetProtection sheet="1" formatCells="0" formatColumns="0" formatRows="0"/>
  <mergeCells count="56">
    <mergeCell ref="W18:X24"/>
    <mergeCell ref="C19:D19"/>
    <mergeCell ref="C1:F1"/>
    <mergeCell ref="F25:G25"/>
    <mergeCell ref="W32:X33"/>
    <mergeCell ref="P31:Q34"/>
    <mergeCell ref="M1:N1"/>
    <mergeCell ref="B17:D17"/>
    <mergeCell ref="F24:G24"/>
    <mergeCell ref="C24:D24"/>
    <mergeCell ref="F29:G29"/>
    <mergeCell ref="C25:D25"/>
    <mergeCell ref="H1:K1"/>
    <mergeCell ref="C9:G9"/>
    <mergeCell ref="E16:F16"/>
    <mergeCell ref="E15:F15"/>
    <mergeCell ref="C23:D23"/>
    <mergeCell ref="C20:D20"/>
    <mergeCell ref="C21:D21"/>
    <mergeCell ref="K35:S39"/>
    <mergeCell ref="C26:D26"/>
    <mergeCell ref="B32:D32"/>
    <mergeCell ref="B38:C38"/>
    <mergeCell ref="B30:C30"/>
    <mergeCell ref="F32:H32"/>
    <mergeCell ref="F30:G30"/>
    <mergeCell ref="F26:G26"/>
    <mergeCell ref="C22:D22"/>
    <mergeCell ref="C40:D40"/>
    <mergeCell ref="D38:G38"/>
    <mergeCell ref="G40:H40"/>
    <mergeCell ref="B33:D33"/>
    <mergeCell ref="F33:H33"/>
    <mergeCell ref="B36:D36"/>
    <mergeCell ref="F36:H36"/>
    <mergeCell ref="B35:D35"/>
    <mergeCell ref="F35:H35"/>
    <mergeCell ref="F19:G19"/>
    <mergeCell ref="F20:G20"/>
    <mergeCell ref="F23:G23"/>
    <mergeCell ref="F21:G21"/>
    <mergeCell ref="F22:G22"/>
    <mergeCell ref="E17:H17"/>
    <mergeCell ref="E18:H18"/>
    <mergeCell ref="O4:P4"/>
    <mergeCell ref="E14:F14"/>
    <mergeCell ref="O8:S8"/>
    <mergeCell ref="C8:G8"/>
    <mergeCell ref="A4:I4"/>
    <mergeCell ref="A6:I6"/>
    <mergeCell ref="A12:I12"/>
    <mergeCell ref="A5:I5"/>
    <mergeCell ref="E13:F13"/>
    <mergeCell ref="A10:I11"/>
    <mergeCell ref="O6:S7"/>
    <mergeCell ref="O9:S10"/>
  </mergeCells>
  <conditionalFormatting sqref="W18:X24">
    <cfRule type="expression" dxfId="32" priority="1">
      <formula>W18&lt;&gt;""</formula>
    </cfRule>
  </conditionalFormatting>
  <dataValidations xWindow="443" yWindow="456" count="6">
    <dataValidation type="textLength" operator="equal" allowBlank="1" showInputMessage="1" showErrorMessage="1" promptTitle="CTD Number" prompt="This cell will only accept a CTD number of exactly 9 digits.  Enter 000 at the end of the district number to fill the places of a school number." sqref="S1" xr:uid="{00000000-0002-0000-0100-000000000000}">
      <formula1>9</formula1>
    </dataValidation>
    <dataValidation type="list" allowBlank="1" showInputMessage="1" showErrorMessage="1" error="Select the budget version from the drop-down list." prompt="Select the budget version that is applicable to you:  Proposed, Adopted, or Revised" sqref="C8:G8" xr:uid="{00000000-0002-0000-0100-000001000000}">
      <formula1>"Proposed, Adopted, Revised #1, Revised #2, Revised #3, Revised #4"</formula1>
    </dataValidation>
    <dataValidation operator="greaterThan" allowBlank="1" showInputMessage="1" showErrorMessage="1" errorTitle="Date" error="Revised date must be greater than adopted date" promptTitle="Enter Date as" prompt="Month Day, Year_x000a_(ex. July 1, 20XX)" sqref="E15:F15" xr:uid="{00000000-0002-0000-0100-000002000000}"/>
    <dataValidation operator="greaterThan" allowBlank="1" showInputMessage="1" showErrorMessage="1" errorTitle="Date" error="Adopted date must be greater than proposed date" promptTitle="Enter Date as" prompt="Month Day, Year_x000a_(ex. July 1, 20XX)" sqref="E14:F14" xr:uid="{00000000-0002-0000-0100-000003000000}"/>
    <dataValidation operator="greaterThanOrEqual" allowBlank="1" showInputMessage="1" errorTitle="Date" error="Enter a Valid Date_x000a_MM/DD/YYYY" promptTitle="Enter Date as" prompt="Month Day, Year_x000a_(ex. July 1, 20XX)" sqref="E13:F13 F29:G29" xr:uid="{00000000-0002-0000-0100-000004000000}"/>
    <dataValidation type="list" allowBlank="1" showInputMessage="1" showErrorMessage="1" sqref="V32" xr:uid="{00000000-0002-0000-0100-000005000000}">
      <formula1>"X"</formula1>
    </dataValidation>
  </dataValidations>
  <hyperlinks>
    <hyperlink ref="L11:P11" location="TaxRates" display="District Tax Rates for Current and Budget Fiscal Years (A.R.S. §15-903.D.4)" xr:uid="{00000000-0004-0000-0100-000000000000}"/>
    <hyperlink ref="K30:Q30" location="AvgTeacherSalaries" display="AVERAGE TEACHER SALARIES (A.R.S. §15-903, amended by Laws 2018, Ch. 285, §10)" xr:uid="{00000000-0004-0000-0100-000001000000}"/>
    <hyperlink ref="B17:D17" location="WebsiteLink" display="District website link of posted budget" xr:uid="{00000000-0004-0000-0100-000002000000}"/>
    <hyperlink ref="M1" location="CoverGen" display="Instructions" xr:uid="{00000000-0004-0000-0100-000003000000}"/>
    <hyperlink ref="B17:D17" location="WebsiteLink" display="District website link of posted budget" xr:uid="{00000000-0004-0000-0100-000004000000}"/>
  </hyperlinks>
  <printOptions horizontalCentered="1"/>
  <pageMargins left="0.25" right="0.25" top="0.25" bottom="0.25" header="0" footer="0.15"/>
  <pageSetup paperSize="5" scale="69" orientation="landscape" r:id="rId1"/>
  <headerFooter alignWithMargins="0">
    <oddFooter>&amp;L&amp;"Times New Roman,Bold"&amp;9Rev. 5/26&amp;K000000 Arizona Department of Education and Auditor General&amp;C&amp;"Times New Roman,Regular"&amp;9&amp;D  &amp;T</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ransitionEvaluation="1" transitionEntry="1" codeName="Sheet11">
    <pageSetUpPr fitToPage="1"/>
  </sheetPr>
  <dimension ref="A1:Q48"/>
  <sheetViews>
    <sheetView showGridLines="0" topLeftCell="B1" zoomScaleNormal="100" zoomScaleSheetLayoutView="130" workbookViewId="0"/>
  </sheetViews>
  <sheetFormatPr defaultColWidth="9.81640625" defaultRowHeight="15.6"/>
  <cols>
    <col min="1" max="1" width="16.81640625" style="97" customWidth="1"/>
    <col min="2" max="2" width="26.81640625" style="97" customWidth="1"/>
    <col min="3" max="3" width="3" style="97" customWidth="1"/>
    <col min="4" max="5" width="5.81640625" style="97" customWidth="1"/>
    <col min="6" max="13" width="10.81640625" style="97" customWidth="1"/>
    <col min="14" max="14" width="6.81640625" style="97" customWidth="1"/>
    <col min="15" max="16" width="3.81640625" style="97" customWidth="1"/>
    <col min="17" max="22" width="9.81640625" style="97" customWidth="1"/>
    <col min="23" max="16384" width="9.81640625" style="97"/>
  </cols>
  <sheetData>
    <row r="1" spans="1:17" ht="12" customHeight="1">
      <c r="A1" s="1270" t="s">
        <v>140</v>
      </c>
      <c r="B1" s="1596" t="str">
        <f>DistrictName</f>
        <v>Pomerene Elementary School District</v>
      </c>
      <c r="C1" s="1596"/>
      <c r="D1" s="1596"/>
      <c r="E1" s="1596"/>
      <c r="F1" s="1270" t="s">
        <v>1</v>
      </c>
      <c r="G1" s="1605" t="str">
        <f>Cover!H1</f>
        <v>Cochise</v>
      </c>
      <c r="H1" s="1612"/>
      <c r="I1" s="138"/>
      <c r="J1" s="1270" t="s">
        <v>57</v>
      </c>
      <c r="K1" s="98" t="str">
        <f>Cover!S1</f>
        <v>020364000</v>
      </c>
      <c r="L1" s="148"/>
      <c r="M1" s="1270" t="s">
        <v>16</v>
      </c>
      <c r="N1" s="1594" t="str">
        <f>Cover!C8</f>
        <v>Proposed</v>
      </c>
      <c r="O1" s="1594"/>
      <c r="P1" s="138"/>
      <c r="Q1" s="138"/>
    </row>
    <row r="2" spans="1:17" ht="42" customHeight="1">
      <c r="A2" s="1719" t="s">
        <v>1026</v>
      </c>
      <c r="B2" s="1720"/>
      <c r="C2" s="1720"/>
      <c r="D2" s="1720"/>
      <c r="E2" s="1720"/>
      <c r="F2" s="1720"/>
      <c r="G2" s="1720"/>
      <c r="H2" s="1720"/>
      <c r="I2" s="1720"/>
      <c r="J2" s="1720"/>
      <c r="K2" s="1720"/>
      <c r="L2" s="1720"/>
      <c r="M2" s="1720"/>
      <c r="N2" s="1720"/>
      <c r="O2" s="558"/>
      <c r="P2" s="558"/>
      <c r="Q2" s="558"/>
    </row>
    <row r="3" spans="1:17" ht="12" customHeight="1">
      <c r="A3" s="1478" t="s">
        <v>691</v>
      </c>
      <c r="C3" s="99"/>
      <c r="D3" s="559"/>
      <c r="E3" s="560"/>
      <c r="F3" s="561"/>
      <c r="G3" s="1274" t="s">
        <v>77</v>
      </c>
      <c r="H3" s="1274" t="s">
        <v>78</v>
      </c>
      <c r="I3" s="1274"/>
      <c r="J3" s="1274"/>
      <c r="K3" s="1274"/>
      <c r="L3" s="312" t="s">
        <v>79</v>
      </c>
      <c r="M3" s="312"/>
      <c r="N3" s="163"/>
    </row>
    <row r="4" spans="1:17" ht="12" customHeight="1">
      <c r="A4" s="1721" t="s">
        <v>306</v>
      </c>
      <c r="B4" s="1722"/>
      <c r="C4" s="96"/>
      <c r="D4" s="164" t="s">
        <v>80</v>
      </c>
      <c r="E4" s="562"/>
      <c r="F4" s="165" t="s">
        <v>81</v>
      </c>
      <c r="G4" s="161" t="s">
        <v>307</v>
      </c>
      <c r="H4" s="161" t="s">
        <v>308</v>
      </c>
      <c r="I4" s="161" t="s">
        <v>82</v>
      </c>
      <c r="J4" s="161" t="s">
        <v>146</v>
      </c>
      <c r="K4" s="161" t="s">
        <v>83</v>
      </c>
      <c r="L4" s="4" t="s">
        <v>84</v>
      </c>
      <c r="M4" s="165" t="s">
        <v>85</v>
      </c>
      <c r="N4" s="161" t="s">
        <v>86</v>
      </c>
    </row>
    <row r="5" spans="1:17" ht="12" customHeight="1">
      <c r="A5" s="563"/>
      <c r="C5" s="96"/>
      <c r="D5" s="161" t="s">
        <v>84</v>
      </c>
      <c r="E5" s="4" t="s">
        <v>85</v>
      </c>
      <c r="F5" s="165"/>
      <c r="G5" s="166"/>
      <c r="H5" s="161" t="s">
        <v>88</v>
      </c>
      <c r="I5" s="161"/>
      <c r="J5" s="161"/>
      <c r="K5" s="161"/>
      <c r="L5" s="4" t="s">
        <v>3</v>
      </c>
      <c r="M5" s="165" t="s">
        <v>3</v>
      </c>
      <c r="N5" s="161" t="s">
        <v>89</v>
      </c>
    </row>
    <row r="6" spans="1:17" ht="12" customHeight="1">
      <c r="A6" s="564" t="s">
        <v>87</v>
      </c>
      <c r="C6" s="169"/>
      <c r="D6" s="161" t="s">
        <v>3</v>
      </c>
      <c r="E6" s="171" t="s">
        <v>3</v>
      </c>
      <c r="F6" s="172">
        <v>6100</v>
      </c>
      <c r="G6" s="170" t="s">
        <v>91</v>
      </c>
      <c r="H6" s="170" t="s">
        <v>92</v>
      </c>
      <c r="I6" s="170">
        <v>6600</v>
      </c>
      <c r="J6" s="170">
        <v>6700</v>
      </c>
      <c r="K6" s="170" t="s">
        <v>93</v>
      </c>
      <c r="L6" s="171">
        <f>PriorFiscalYear</f>
        <v>2026</v>
      </c>
      <c r="M6" s="172">
        <f>Cover!E3</f>
        <v>2027</v>
      </c>
      <c r="N6" s="170" t="s">
        <v>94</v>
      </c>
    </row>
    <row r="7" spans="1:17" ht="13.5" customHeight="1">
      <c r="A7" s="1717" t="s">
        <v>309</v>
      </c>
      <c r="B7" s="1718"/>
      <c r="C7" s="565"/>
      <c r="D7" s="1110"/>
      <c r="E7" s="173"/>
      <c r="F7" s="174"/>
      <c r="G7" s="174"/>
      <c r="H7" s="174"/>
      <c r="I7" s="174"/>
      <c r="J7" s="1108"/>
      <c r="K7" s="1111"/>
      <c r="L7" s="1110"/>
      <c r="M7" s="1110"/>
      <c r="N7" s="1110"/>
      <c r="O7" s="566"/>
    </row>
    <row r="8" spans="1:17" ht="13.5" customHeight="1">
      <c r="A8" s="101" t="s">
        <v>96</v>
      </c>
      <c r="B8" s="96"/>
      <c r="C8" s="175" t="s">
        <v>6</v>
      </c>
      <c r="D8" s="1180">
        <f>[1]!F071F1000Personnel</f>
        <v>0</v>
      </c>
      <c r="E8" s="36"/>
      <c r="F8" s="8"/>
      <c r="G8" s="8"/>
      <c r="H8" s="8"/>
      <c r="I8" s="8"/>
      <c r="J8" s="1109"/>
      <c r="K8" s="45"/>
      <c r="L8" s="1158">
        <f>[1]!F071F1000</f>
        <v>0</v>
      </c>
      <c r="M8" s="1158">
        <f>SUM(F8:K8)</f>
        <v>0</v>
      </c>
      <c r="N8" s="1168">
        <f>IF(L8=M8,0,IF(L8&gt;0,(M8-L8)/L8,""))</f>
        <v>0</v>
      </c>
      <c r="O8" s="177" t="s">
        <v>6</v>
      </c>
      <c r="P8" s="1271"/>
    </row>
    <row r="9" spans="1:17" ht="13.5" customHeight="1">
      <c r="A9" s="101" t="s">
        <v>967</v>
      </c>
      <c r="B9" s="96"/>
      <c r="C9" s="175" t="s">
        <v>42</v>
      </c>
      <c r="D9" s="1110"/>
      <c r="E9" s="173"/>
      <c r="F9" s="174"/>
      <c r="G9" s="174"/>
      <c r="H9" s="174"/>
      <c r="I9" s="174"/>
      <c r="J9" s="1108"/>
      <c r="K9" s="1111"/>
      <c r="L9" s="1087"/>
      <c r="M9" s="1087"/>
      <c r="N9" s="1087"/>
      <c r="O9" s="177" t="s">
        <v>42</v>
      </c>
      <c r="P9" s="1271"/>
    </row>
    <row r="10" spans="1:17" ht="13.5" customHeight="1">
      <c r="A10" s="101" t="s">
        <v>97</v>
      </c>
      <c r="B10" s="96"/>
      <c r="C10" s="175" t="s">
        <v>8</v>
      </c>
      <c r="D10" s="1180">
        <f>[1]!F071F2100Personnel</f>
        <v>0</v>
      </c>
      <c r="E10" s="36"/>
      <c r="F10" s="8"/>
      <c r="G10" s="8"/>
      <c r="H10" s="8"/>
      <c r="I10" s="8"/>
      <c r="J10" s="1109"/>
      <c r="K10" s="45"/>
      <c r="L10" s="1154">
        <f>[1]!F071F2100</f>
        <v>0</v>
      </c>
      <c r="M10" s="1154">
        <f>SUM(F10:K10)</f>
        <v>0</v>
      </c>
      <c r="N10" s="1155">
        <f>IF(L10=M10,0,IF(L10&gt;0,(M10-L10)/L10,""))</f>
        <v>0</v>
      </c>
      <c r="O10" s="177" t="s">
        <v>8</v>
      </c>
      <c r="P10" s="1271"/>
    </row>
    <row r="11" spans="1:17" ht="13.5" customHeight="1">
      <c r="A11" s="101" t="s">
        <v>968</v>
      </c>
      <c r="B11" s="96"/>
      <c r="C11" s="175" t="s">
        <v>22</v>
      </c>
      <c r="D11" s="1156">
        <f>[1]!F071F2200Personnel</f>
        <v>0</v>
      </c>
      <c r="E11" s="13"/>
      <c r="F11" s="9"/>
      <c r="G11" s="9"/>
      <c r="H11" s="9"/>
      <c r="I11" s="9"/>
      <c r="J11" s="567"/>
      <c r="K11" s="9"/>
      <c r="L11" s="176">
        <f>[1]!F071F2200</f>
        <v>0</v>
      </c>
      <c r="M11" s="176">
        <f t="shared" ref="M11:M17" si="0">SUM(F11:K11)</f>
        <v>0</v>
      </c>
      <c r="N11" s="1159">
        <f t="shared" ref="N11:N17" si="1">IF(L11=M11,0,IF(L11&gt;0,(M11-L11)/L11,""))</f>
        <v>0</v>
      </c>
      <c r="O11" s="177" t="s">
        <v>22</v>
      </c>
      <c r="P11" s="1271"/>
    </row>
    <row r="12" spans="1:17" ht="13.5" customHeight="1">
      <c r="A12" s="101" t="s">
        <v>969</v>
      </c>
      <c r="B12" s="96"/>
      <c r="C12" s="175" t="s">
        <v>40</v>
      </c>
      <c r="D12" s="186">
        <f>[1]!F071F2300Personnel</f>
        <v>0</v>
      </c>
      <c r="E12" s="13"/>
      <c r="F12" s="9"/>
      <c r="G12" s="9"/>
      <c r="H12" s="9"/>
      <c r="I12" s="9"/>
      <c r="J12" s="567"/>
      <c r="K12" s="9"/>
      <c r="L12" s="1160">
        <f>[1]!F071F2300</f>
        <v>0</v>
      </c>
      <c r="M12" s="176">
        <f t="shared" si="0"/>
        <v>0</v>
      </c>
      <c r="N12" s="1161">
        <f t="shared" si="1"/>
        <v>0</v>
      </c>
      <c r="O12" s="177" t="s">
        <v>40</v>
      </c>
      <c r="P12" s="1271"/>
    </row>
    <row r="13" spans="1:17" ht="13.5" customHeight="1">
      <c r="A13" s="101" t="s">
        <v>970</v>
      </c>
      <c r="B13" s="96"/>
      <c r="C13" s="175" t="s">
        <v>98</v>
      </c>
      <c r="D13" s="186">
        <f>[1]!F071F2400Personnel</f>
        <v>0</v>
      </c>
      <c r="E13" s="13"/>
      <c r="F13" s="9"/>
      <c r="G13" s="9"/>
      <c r="H13" s="9"/>
      <c r="I13" s="9"/>
      <c r="J13" s="567"/>
      <c r="K13" s="9"/>
      <c r="L13" s="1160">
        <f>[1]!F071F2400</f>
        <v>0</v>
      </c>
      <c r="M13" s="176">
        <f t="shared" si="0"/>
        <v>0</v>
      </c>
      <c r="N13" s="1161">
        <f t="shared" si="1"/>
        <v>0</v>
      </c>
      <c r="O13" s="177" t="s">
        <v>98</v>
      </c>
      <c r="P13" s="1271"/>
    </row>
    <row r="14" spans="1:17" ht="13.5" customHeight="1">
      <c r="A14" s="101" t="s">
        <v>971</v>
      </c>
      <c r="B14" s="96"/>
      <c r="C14" s="175" t="s">
        <v>99</v>
      </c>
      <c r="D14" s="186">
        <f>[1]!F071F2500Personnel</f>
        <v>0</v>
      </c>
      <c r="E14" s="13"/>
      <c r="F14" s="9"/>
      <c r="G14" s="9"/>
      <c r="H14" s="9"/>
      <c r="I14" s="9"/>
      <c r="J14" s="567"/>
      <c r="K14" s="9"/>
      <c r="L14" s="1160">
        <f>[1]!F071F2500</f>
        <v>0</v>
      </c>
      <c r="M14" s="176">
        <f t="shared" si="0"/>
        <v>0</v>
      </c>
      <c r="N14" s="1161">
        <f t="shared" si="1"/>
        <v>0</v>
      </c>
      <c r="O14" s="177" t="s">
        <v>99</v>
      </c>
      <c r="P14" s="1271"/>
    </row>
    <row r="15" spans="1:17" ht="13.5" customHeight="1">
      <c r="A15" s="101" t="s">
        <v>972</v>
      </c>
      <c r="B15" s="96"/>
      <c r="C15" s="175" t="s">
        <v>100</v>
      </c>
      <c r="D15" s="186">
        <f>[1]!F071F2600Personnel</f>
        <v>0</v>
      </c>
      <c r="E15" s="13"/>
      <c r="F15" s="9"/>
      <c r="G15" s="9"/>
      <c r="H15" s="9"/>
      <c r="I15" s="9"/>
      <c r="J15" s="567"/>
      <c r="K15" s="9"/>
      <c r="L15" s="1160">
        <f>[1]!F071F2600</f>
        <v>0</v>
      </c>
      <c r="M15" s="176">
        <f t="shared" si="0"/>
        <v>0</v>
      </c>
      <c r="N15" s="1161">
        <f t="shared" si="1"/>
        <v>0</v>
      </c>
      <c r="O15" s="177" t="s">
        <v>100</v>
      </c>
      <c r="P15" s="1271"/>
    </row>
    <row r="16" spans="1:17" ht="13.5" customHeight="1">
      <c r="A16" s="101" t="s">
        <v>1025</v>
      </c>
      <c r="B16" s="96"/>
      <c r="C16" s="175" t="s">
        <v>102</v>
      </c>
      <c r="D16" s="186">
        <f>[1]!F071F2700Personnel</f>
        <v>0</v>
      </c>
      <c r="E16" s="13"/>
      <c r="F16" s="9"/>
      <c r="G16" s="9"/>
      <c r="H16" s="9"/>
      <c r="I16" s="9"/>
      <c r="J16" s="567"/>
      <c r="K16" s="9"/>
      <c r="L16" s="1160">
        <f>[1]!F071F2700</f>
        <v>0</v>
      </c>
      <c r="M16" s="176">
        <f t="shared" si="0"/>
        <v>0</v>
      </c>
      <c r="N16" s="1161">
        <f t="shared" si="1"/>
        <v>0</v>
      </c>
      <c r="O16" s="177" t="s">
        <v>102</v>
      </c>
      <c r="P16" s="1271"/>
    </row>
    <row r="17" spans="1:16" ht="13.5" customHeight="1">
      <c r="A17" s="101" t="s">
        <v>101</v>
      </c>
      <c r="B17" s="96"/>
      <c r="C17" s="175" t="s">
        <v>103</v>
      </c>
      <c r="D17" s="186">
        <f>[1]!F071F2900Personnel</f>
        <v>0</v>
      </c>
      <c r="E17" s="13"/>
      <c r="F17" s="9"/>
      <c r="G17" s="9"/>
      <c r="H17" s="9"/>
      <c r="I17" s="9"/>
      <c r="J17" s="567"/>
      <c r="K17" s="9"/>
      <c r="L17" s="1160">
        <f>[1]!F071F2900</f>
        <v>0</v>
      </c>
      <c r="M17" s="176">
        <f t="shared" si="0"/>
        <v>0</v>
      </c>
      <c r="N17" s="1161">
        <f t="shared" si="1"/>
        <v>0</v>
      </c>
      <c r="O17" s="177" t="s">
        <v>103</v>
      </c>
      <c r="P17" s="1271"/>
    </row>
    <row r="18" spans="1:16" ht="13.5" customHeight="1">
      <c r="A18" s="568" t="s">
        <v>1120</v>
      </c>
      <c r="B18" s="569"/>
      <c r="C18" s="570" t="s">
        <v>104</v>
      </c>
      <c r="D18" s="1162">
        <f>SUM(D8:D17)</f>
        <v>0</v>
      </c>
      <c r="E18" s="186">
        <f>E8+SUM(E10:E17)</f>
        <v>0</v>
      </c>
      <c r="F18" s="190">
        <f>F8+SUM(F10:F17)</f>
        <v>0</v>
      </c>
      <c r="G18" s="190">
        <f>G8+SUM(G10:G17)</f>
        <v>0</v>
      </c>
      <c r="H18" s="190">
        <f>H8+SUM(H10:H17)</f>
        <v>0</v>
      </c>
      <c r="I18" s="190">
        <f>I8+SUM(I10:I17)</f>
        <v>0</v>
      </c>
      <c r="J18" s="571"/>
      <c r="K18" s="190">
        <f>K8+SUM(K10:K17)</f>
        <v>0</v>
      </c>
      <c r="L18" s="1163">
        <f>SUM(L8:L17)</f>
        <v>0</v>
      </c>
      <c r="M18" s="1163">
        <f>SUM(M8:M17)</f>
        <v>0</v>
      </c>
      <c r="N18" s="1164">
        <f>IF(L18=M18,0,IF(L18&gt;0,(M18-L18)/L18,""))</f>
        <v>0</v>
      </c>
      <c r="O18" s="327" t="s">
        <v>104</v>
      </c>
      <c r="P18" s="1271"/>
    </row>
    <row r="19" spans="1:16" ht="13.5" customHeight="1">
      <c r="A19" s="1717" t="s">
        <v>310</v>
      </c>
      <c r="B19" s="1718"/>
      <c r="C19" s="572"/>
      <c r="D19" s="1110"/>
      <c r="E19" s="173"/>
      <c r="F19" s="174"/>
      <c r="G19" s="174"/>
      <c r="H19" s="174"/>
      <c r="I19" s="174"/>
      <c r="J19" s="1108"/>
      <c r="K19" s="1111"/>
      <c r="L19" s="1087"/>
      <c r="M19" s="1087"/>
      <c r="N19" s="1087"/>
      <c r="O19" s="566"/>
    </row>
    <row r="20" spans="1:16" ht="13.5" customHeight="1">
      <c r="A20" s="101" t="s">
        <v>96</v>
      </c>
      <c r="B20" s="96"/>
      <c r="C20" s="175" t="s">
        <v>105</v>
      </c>
      <c r="D20" s="1180">
        <f>[1]!F072F1000Personnel</f>
        <v>0</v>
      </c>
      <c r="E20" s="36"/>
      <c r="F20" s="8"/>
      <c r="G20" s="8"/>
      <c r="H20" s="8"/>
      <c r="I20" s="8"/>
      <c r="J20" s="1109"/>
      <c r="K20" s="45"/>
      <c r="L20" s="1154">
        <f>[1]!F072F1000</f>
        <v>0</v>
      </c>
      <c r="M20" s="1154">
        <f>SUM(F20:K20)</f>
        <v>0</v>
      </c>
      <c r="N20" s="1155">
        <f>IF(L20=M20,0,IF(L20&gt;0,(M20-L20)/L20,""))</f>
        <v>0</v>
      </c>
      <c r="O20" s="177" t="s">
        <v>105</v>
      </c>
      <c r="P20" s="1271"/>
    </row>
    <row r="21" spans="1:16" ht="13.5" customHeight="1">
      <c r="A21" s="101" t="s">
        <v>967</v>
      </c>
      <c r="B21" s="96"/>
      <c r="C21" s="175"/>
      <c r="D21" s="1110"/>
      <c r="E21" s="173"/>
      <c r="F21" s="174"/>
      <c r="G21" s="174"/>
      <c r="H21" s="174"/>
      <c r="I21" s="174"/>
      <c r="J21" s="1108"/>
      <c r="K21" s="1111"/>
      <c r="L21" s="1087"/>
      <c r="M21" s="1087"/>
      <c r="N21" s="1087"/>
      <c r="O21" s="177" t="s">
        <v>42</v>
      </c>
      <c r="P21" s="1271"/>
    </row>
    <row r="22" spans="1:16" ht="13.5" customHeight="1">
      <c r="A22" s="101" t="s">
        <v>97</v>
      </c>
      <c r="B22" s="96"/>
      <c r="C22" s="175" t="s">
        <v>106</v>
      </c>
      <c r="D22" s="1180">
        <f>[1]!F072F2100Personnel</f>
        <v>0</v>
      </c>
      <c r="E22" s="36"/>
      <c r="F22" s="8"/>
      <c r="G22" s="8"/>
      <c r="H22" s="8"/>
      <c r="I22" s="8"/>
      <c r="J22" s="1109"/>
      <c r="K22" s="45"/>
      <c r="L22" s="1154">
        <f>[1]!F072F2100</f>
        <v>0</v>
      </c>
      <c r="M22" s="1154">
        <f>SUM(F22:K22)</f>
        <v>0</v>
      </c>
      <c r="N22" s="1155">
        <f>IF(L22=M22,0,IF(L22&gt;0,(M22-L22)/L22,""))</f>
        <v>0</v>
      </c>
      <c r="O22" s="177" t="s">
        <v>106</v>
      </c>
      <c r="P22" s="1271"/>
    </row>
    <row r="23" spans="1:16" ht="13.5" customHeight="1">
      <c r="A23" s="101" t="s">
        <v>968</v>
      </c>
      <c r="B23" s="96"/>
      <c r="C23" s="175" t="s">
        <v>107</v>
      </c>
      <c r="D23" s="1156">
        <f>[1]!F072F2200Personnel</f>
        <v>0</v>
      </c>
      <c r="E23" s="13"/>
      <c r="F23" s="9"/>
      <c r="G23" s="9"/>
      <c r="H23" s="9"/>
      <c r="I23" s="9"/>
      <c r="J23" s="567"/>
      <c r="K23" s="9"/>
      <c r="L23" s="1181">
        <f>[1]!F072F2200</f>
        <v>0</v>
      </c>
      <c r="M23" s="176">
        <f t="shared" ref="M23:M29" si="2">SUM(F23:K23)</f>
        <v>0</v>
      </c>
      <c r="N23" s="1159">
        <f t="shared" ref="N23:N30" si="3">IF(L23=M23,0,IF(L23&gt;0,(M23-L23)/L23,""))</f>
        <v>0</v>
      </c>
      <c r="O23" s="177" t="s">
        <v>107</v>
      </c>
      <c r="P23" s="1271"/>
    </row>
    <row r="24" spans="1:16" ht="13.5" customHeight="1">
      <c r="A24" s="101" t="s">
        <v>969</v>
      </c>
      <c r="B24" s="96"/>
      <c r="C24" s="175" t="s">
        <v>108</v>
      </c>
      <c r="D24" s="186">
        <f>[1]!F072F2300Personnel</f>
        <v>0</v>
      </c>
      <c r="E24" s="13"/>
      <c r="F24" s="9"/>
      <c r="G24" s="9"/>
      <c r="H24" s="9"/>
      <c r="I24" s="9"/>
      <c r="J24" s="567"/>
      <c r="K24" s="9"/>
      <c r="L24" s="178">
        <f>[1]!F072F2300</f>
        <v>0</v>
      </c>
      <c r="M24" s="176">
        <f t="shared" si="2"/>
        <v>0</v>
      </c>
      <c r="N24" s="179">
        <f t="shared" si="3"/>
        <v>0</v>
      </c>
      <c r="O24" s="177" t="s">
        <v>108</v>
      </c>
      <c r="P24" s="1271"/>
    </row>
    <row r="25" spans="1:16" ht="13.5" customHeight="1">
      <c r="A25" s="101" t="s">
        <v>970</v>
      </c>
      <c r="B25" s="96"/>
      <c r="C25" s="175" t="s">
        <v>109</v>
      </c>
      <c r="D25" s="186">
        <f>[1]!F072F2400Personnel</f>
        <v>0</v>
      </c>
      <c r="E25" s="13"/>
      <c r="F25" s="9"/>
      <c r="G25" s="9"/>
      <c r="H25" s="9"/>
      <c r="I25" s="9"/>
      <c r="J25" s="567"/>
      <c r="K25" s="9"/>
      <c r="L25" s="178">
        <f>[1]!F072F2400</f>
        <v>0</v>
      </c>
      <c r="M25" s="176">
        <f t="shared" si="2"/>
        <v>0</v>
      </c>
      <c r="N25" s="179">
        <f t="shared" si="3"/>
        <v>0</v>
      </c>
      <c r="O25" s="177" t="s">
        <v>109</v>
      </c>
      <c r="P25" s="1271"/>
    </row>
    <row r="26" spans="1:16" ht="13.5" customHeight="1">
      <c r="A26" s="101" t="s">
        <v>971</v>
      </c>
      <c r="B26" s="96"/>
      <c r="C26" s="175" t="s">
        <v>110</v>
      </c>
      <c r="D26" s="189">
        <f>[1]!F072F2500Personnel</f>
        <v>0</v>
      </c>
      <c r="E26" s="13"/>
      <c r="F26" s="9"/>
      <c r="G26" s="9"/>
      <c r="H26" s="9"/>
      <c r="I26" s="9"/>
      <c r="J26" s="567"/>
      <c r="K26" s="9"/>
      <c r="L26" s="178">
        <f>[1]!F072F2500</f>
        <v>0</v>
      </c>
      <c r="M26" s="176">
        <f t="shared" si="2"/>
        <v>0</v>
      </c>
      <c r="N26" s="179">
        <f t="shared" si="3"/>
        <v>0</v>
      </c>
      <c r="O26" s="177" t="s">
        <v>110</v>
      </c>
      <c r="P26" s="1271"/>
    </row>
    <row r="27" spans="1:16" ht="13.5" customHeight="1">
      <c r="A27" s="101" t="s">
        <v>972</v>
      </c>
      <c r="B27" s="96"/>
      <c r="C27" s="175" t="s">
        <v>111</v>
      </c>
      <c r="D27" s="189">
        <f>[1]!F072F2600Personnel</f>
        <v>0</v>
      </c>
      <c r="E27" s="13"/>
      <c r="F27" s="9"/>
      <c r="G27" s="9"/>
      <c r="H27" s="9"/>
      <c r="I27" s="9"/>
      <c r="J27" s="567"/>
      <c r="K27" s="9"/>
      <c r="L27" s="178">
        <f>[1]!F072F2600</f>
        <v>0</v>
      </c>
      <c r="M27" s="176">
        <f t="shared" si="2"/>
        <v>0</v>
      </c>
      <c r="N27" s="179">
        <f t="shared" si="3"/>
        <v>0</v>
      </c>
      <c r="O27" s="177" t="s">
        <v>111</v>
      </c>
      <c r="P27" s="1271"/>
    </row>
    <row r="28" spans="1:16" ht="13.5" customHeight="1">
      <c r="A28" s="101" t="s">
        <v>1025</v>
      </c>
      <c r="B28" s="96"/>
      <c r="C28" s="175" t="s">
        <v>112</v>
      </c>
      <c r="D28" s="189">
        <f>[1]!F072F2700Personnel</f>
        <v>0</v>
      </c>
      <c r="E28" s="13"/>
      <c r="F28" s="9"/>
      <c r="G28" s="9"/>
      <c r="H28" s="9"/>
      <c r="I28" s="9"/>
      <c r="J28" s="567"/>
      <c r="K28" s="9"/>
      <c r="L28" s="178">
        <f>[1]!F072F2700</f>
        <v>0</v>
      </c>
      <c r="M28" s="176">
        <f t="shared" si="2"/>
        <v>0</v>
      </c>
      <c r="N28" s="179">
        <f t="shared" si="3"/>
        <v>0</v>
      </c>
      <c r="O28" s="177" t="s">
        <v>112</v>
      </c>
      <c r="P28" s="1271"/>
    </row>
    <row r="29" spans="1:16" ht="13.5" customHeight="1">
      <c r="A29" s="101" t="s">
        <v>101</v>
      </c>
      <c r="B29" s="96"/>
      <c r="C29" s="175" t="s">
        <v>113</v>
      </c>
      <c r="D29" s="189">
        <f>[1]!F072F2900Personnel</f>
        <v>0</v>
      </c>
      <c r="E29" s="13"/>
      <c r="F29" s="9"/>
      <c r="G29" s="9"/>
      <c r="H29" s="9"/>
      <c r="I29" s="9"/>
      <c r="J29" s="567"/>
      <c r="K29" s="9"/>
      <c r="L29" s="178">
        <f>[1]!F072F2900</f>
        <v>0</v>
      </c>
      <c r="M29" s="176">
        <f t="shared" si="2"/>
        <v>0</v>
      </c>
      <c r="N29" s="179">
        <f t="shared" si="3"/>
        <v>0</v>
      </c>
      <c r="O29" s="177" t="s">
        <v>113</v>
      </c>
      <c r="P29" s="1271"/>
    </row>
    <row r="30" spans="1:16" ht="13.5" customHeight="1">
      <c r="A30" s="568" t="s">
        <v>1121</v>
      </c>
      <c r="B30" s="569"/>
      <c r="C30" s="570" t="s">
        <v>114</v>
      </c>
      <c r="D30" s="186">
        <f>SUM(D20:D29)</f>
        <v>0</v>
      </c>
      <c r="E30" s="186">
        <f>E20+SUM(E22:E29)</f>
        <v>0</v>
      </c>
      <c r="F30" s="190">
        <f>F20+SUM(F22:F29)</f>
        <v>0</v>
      </c>
      <c r="G30" s="190">
        <f>G20+SUM(G22:G29)</f>
        <v>0</v>
      </c>
      <c r="H30" s="190">
        <f>H20+SUM(H22:H29)</f>
        <v>0</v>
      </c>
      <c r="I30" s="190">
        <f>I20+SUM(I22:I29)</f>
        <v>0</v>
      </c>
      <c r="J30" s="571"/>
      <c r="K30" s="190">
        <f>K20+SUM(K22:K29)</f>
        <v>0</v>
      </c>
      <c r="L30" s="190">
        <f>SUM(L20:L29)</f>
        <v>0</v>
      </c>
      <c r="M30" s="190">
        <f>SUM(M20:M29)</f>
        <v>0</v>
      </c>
      <c r="N30" s="179">
        <f t="shared" si="3"/>
        <v>0</v>
      </c>
      <c r="O30" s="327" t="s">
        <v>114</v>
      </c>
      <c r="P30" s="1271"/>
    </row>
    <row r="31" spans="1:16" ht="9" customHeight="1"/>
    <row r="33" s="97" customFormat="1"/>
    <row r="34" s="97" customFormat="1"/>
    <row r="35" s="97" customFormat="1"/>
    <row r="36" s="97" customFormat="1"/>
    <row r="37" s="97" customFormat="1"/>
    <row r="38" s="97" customFormat="1"/>
    <row r="39" s="97" customFormat="1"/>
    <row r="40" s="97" customFormat="1"/>
    <row r="41" s="97" customFormat="1"/>
    <row r="42" s="97" customFormat="1"/>
    <row r="43" s="97" customFormat="1"/>
    <row r="44" s="97" customFormat="1"/>
    <row r="45" s="97" customFormat="1"/>
    <row r="46" s="97" customFormat="1"/>
    <row r="47" s="97" customFormat="1"/>
    <row r="48" s="97" customFormat="1"/>
  </sheetData>
  <sheetProtection sheet="1" formatCells="0" formatColumns="0" formatRows="0"/>
  <mergeCells count="7">
    <mergeCell ref="A7:B7"/>
    <mergeCell ref="A19:B19"/>
    <mergeCell ref="N1:O1"/>
    <mergeCell ref="A2:N2"/>
    <mergeCell ref="B1:E1"/>
    <mergeCell ref="G1:H1"/>
    <mergeCell ref="A4:B4"/>
  </mergeCells>
  <hyperlinks>
    <hyperlink ref="A3" location="Suppl_ELL" display="Instructions" xr:uid="{00000000-0004-0000-0A00-000000000000}"/>
  </hyperlinks>
  <printOptions horizontalCentered="1"/>
  <pageMargins left="0.25" right="0.25" top="0.25" bottom="0.25" header="0" footer="0.15"/>
  <pageSetup paperSize="5" scale="92" orientation="landscape" r:id="rId1"/>
  <headerFooter alignWithMargins="0">
    <oddFooter>&amp;L&amp;"Times New Roman,Bold"&amp;9Rev. 5/26&amp;K000000 Arizona Department of Education and Auditor General&amp;C&amp;"Times New Roman,Regular"&amp;9&amp;D  &amp;T</oddFooter>
  </headerFooter>
  <ignoredErrors>
    <ignoredError sqref="K6 G6:H6"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pageSetUpPr fitToPage="1"/>
  </sheetPr>
  <dimension ref="A1:V271"/>
  <sheetViews>
    <sheetView showGridLines="0" tabSelected="1" zoomScaleNormal="100" workbookViewId="0">
      <selection activeCell="E6" sqref="E6:G6"/>
    </sheetView>
  </sheetViews>
  <sheetFormatPr defaultColWidth="8.54296875" defaultRowHeight="10.199999999999999"/>
  <cols>
    <col min="1" max="1" width="28.81640625" style="577" customWidth="1"/>
    <col min="2" max="2" width="9.1796875" style="577" customWidth="1"/>
    <col min="3" max="3" width="10.1796875" style="577" customWidth="1"/>
    <col min="4" max="8" width="8.81640625" style="577" customWidth="1"/>
    <col min="9" max="9" width="10" style="577" customWidth="1"/>
    <col min="10" max="10" width="2" style="577" customWidth="1"/>
    <col min="11" max="11" width="10" style="577" customWidth="1"/>
    <col min="12" max="12" width="8.81640625" style="577" customWidth="1"/>
    <col min="13" max="255" width="5.81640625" style="577" customWidth="1"/>
    <col min="256" max="261" width="8.54296875" style="577" customWidth="1"/>
    <col min="262" max="16384" width="8.54296875" style="577"/>
  </cols>
  <sheetData>
    <row r="1" spans="1:22" ht="15">
      <c r="A1" s="573" t="str">
        <f>IF(OR(Version="Proposed",Version=""),"Summary of School District Proposed Expenditure Budget",IF(Version="Adopted","Summary of School District Adopted Expenditure Budget","Summary of School District Revised Expenditure Budget"))</f>
        <v>Summary of School District Proposed Expenditure Budget</v>
      </c>
      <c r="B1" s="1140"/>
      <c r="C1" s="1140"/>
      <c r="D1" s="1140"/>
      <c r="E1" s="1140"/>
      <c r="F1" s="573"/>
      <c r="G1" s="573"/>
      <c r="H1" s="1140" t="s">
        <v>57</v>
      </c>
      <c r="I1" s="574" t="str">
        <f>CTD</f>
        <v>020364000</v>
      </c>
      <c r="J1" s="575"/>
      <c r="K1" s="576" t="s">
        <v>311</v>
      </c>
      <c r="L1" s="149"/>
    </row>
    <row r="2" spans="1:22" ht="12" customHeight="1">
      <c r="B2" s="1297"/>
      <c r="C2" s="1297"/>
      <c r="D2" s="1297"/>
      <c r="E2" s="1297"/>
      <c r="F2" s="1297"/>
      <c r="G2" s="1297"/>
      <c r="H2" s="1141" t="s">
        <v>16</v>
      </c>
      <c r="I2" s="578" t="str">
        <f>Cover!C8</f>
        <v>Proposed</v>
      </c>
      <c r="J2" s="303"/>
      <c r="K2" s="576" t="s">
        <v>312</v>
      </c>
      <c r="L2" s="576" t="s">
        <v>313</v>
      </c>
      <c r="M2" s="303"/>
      <c r="N2" s="303"/>
      <c r="O2" s="303"/>
      <c r="P2" s="303"/>
      <c r="Q2" s="303"/>
      <c r="R2" s="303"/>
      <c r="S2" s="303"/>
      <c r="T2" s="303"/>
      <c r="U2" s="303"/>
      <c r="V2" s="303"/>
    </row>
    <row r="3" spans="1:22" ht="15" customHeight="1">
      <c r="A3" s="579" t="s">
        <v>314</v>
      </c>
      <c r="B3" s="1724" t="s">
        <v>1407</v>
      </c>
      <c r="C3" s="1724"/>
      <c r="D3" s="1725"/>
      <c r="E3" s="580" t="s">
        <v>315</v>
      </c>
      <c r="F3" s="88" t="s">
        <v>1408</v>
      </c>
      <c r="G3" s="1723" t="s">
        <v>1338</v>
      </c>
      <c r="H3" s="1723"/>
      <c r="I3" s="1723"/>
      <c r="J3" s="303"/>
      <c r="K3" s="576" t="s">
        <v>316</v>
      </c>
      <c r="L3" s="581" t="s">
        <v>317</v>
      </c>
      <c r="M3" s="303"/>
      <c r="N3" s="303"/>
      <c r="O3" s="303"/>
      <c r="P3" s="303"/>
      <c r="Q3" s="303"/>
      <c r="R3" s="303"/>
      <c r="S3" s="303"/>
      <c r="T3" s="303"/>
      <c r="U3" s="303"/>
      <c r="V3" s="303"/>
    </row>
    <row r="4" spans="1:22" ht="12" customHeight="1">
      <c r="A4" s="579" t="str">
        <f>IF(OR(I2="Proposed",I2=0),K1,IF(I2="Adopted",L2,K2))</f>
        <v>proposed by the Governing Board on,</v>
      </c>
      <c r="C4" s="1063">
        <f>IF(ISNUMBER(SEARCH("Revised*",I2)),Cover!E15,IF(ISNUMBER(SEARCH("Proposed*",I2)),Cover!E13,IF(ISNUMBER(SEARCH("Adopted*",I2)),Cover!E14,"")))</f>
        <v>46195</v>
      </c>
      <c r="D4" s="1726" t="str">
        <f>IF(OR(I2="Proposed",I2=0),K3,IF(I2="Adopted",L3,K4))</f>
        <v>, and that the complete Proposed Expenditure Budget may be reviewed by contacting</v>
      </c>
      <c r="E4" s="1726">
        <f>IF(ISNUMBER(SEARCH("Revised*",M2)),O2,O1)</f>
        <v>0</v>
      </c>
      <c r="F4" s="1726">
        <f>IF(ISNUMBER(SEARCH("Revised*",N2)),P2,P1)</f>
        <v>0</v>
      </c>
      <c r="G4" s="1726">
        <f>IF(ISNUMBER(SEARCH("Revised*",O2)),Q2,Q1)</f>
        <v>0</v>
      </c>
      <c r="H4" s="1726">
        <f>IF(ISNUMBER(SEARCH("Revised*",P2)),R2,R1)</f>
        <v>0</v>
      </c>
      <c r="I4" s="1726">
        <f>IF(ISNUMBER(SEARCH("Revised*",Q2)),S2,S1)</f>
        <v>0</v>
      </c>
      <c r="J4" s="303"/>
      <c r="K4" s="576" t="s">
        <v>318</v>
      </c>
      <c r="L4" s="582"/>
      <c r="M4" s="303"/>
      <c r="N4" s="303"/>
      <c r="O4" s="303"/>
      <c r="P4" s="303"/>
      <c r="Q4" s="303"/>
      <c r="R4" s="303"/>
      <c r="S4" s="303"/>
      <c r="T4" s="303"/>
      <c r="U4" s="303"/>
      <c r="V4" s="303"/>
    </row>
    <row r="5" spans="1:22" ht="12" customHeight="1">
      <c r="A5" s="32" t="s">
        <v>1402</v>
      </c>
      <c r="B5" s="1729" t="s">
        <v>1027</v>
      </c>
      <c r="C5" s="1730"/>
      <c r="D5" s="1737" t="s">
        <v>1409</v>
      </c>
      <c r="E5" s="1725"/>
      <c r="F5" s="1726" t="s">
        <v>319</v>
      </c>
      <c r="G5" s="1726"/>
      <c r="H5" s="1726"/>
      <c r="I5" s="1728" t="str">
        <f>IF(I10&lt;1,"Enter average salaries on Budget Cover","")</f>
        <v/>
      </c>
      <c r="K5" s="1731" t="str">
        <f>IF(AND(ISNUMBER(SEARCH("Revised*",I2)),Cover!E15=""),"Enter revised date on Budget Cover",IF(AND(ISNUMBER(SEARCH("Proposed*",I2)),Cover!E13=""),"Enter proposed date on Budget Cover",""))</f>
        <v/>
      </c>
      <c r="L5" s="303"/>
      <c r="M5" s="303"/>
      <c r="N5" s="303"/>
      <c r="O5" s="303"/>
      <c r="P5" s="303"/>
      <c r="Q5" s="303"/>
      <c r="R5" s="303"/>
      <c r="S5" s="303"/>
      <c r="T5" s="303"/>
      <c r="U5" s="303"/>
      <c r="V5" s="303"/>
    </row>
    <row r="6" spans="1:22" ht="11.4">
      <c r="A6" s="583"/>
      <c r="B6" s="583"/>
      <c r="C6" s="584"/>
      <c r="D6" s="584"/>
      <c r="E6" s="1727" t="s">
        <v>1410</v>
      </c>
      <c r="F6" s="1727"/>
      <c r="G6" s="1727"/>
      <c r="H6" s="583"/>
      <c r="I6" s="1728"/>
      <c r="J6" s="585"/>
      <c r="K6" s="1731"/>
      <c r="L6" s="303"/>
      <c r="M6" s="303"/>
      <c r="N6" s="303"/>
      <c r="O6" s="303"/>
      <c r="P6" s="303"/>
      <c r="Q6" s="303"/>
      <c r="R6" s="303"/>
      <c r="S6" s="303"/>
      <c r="T6" s="303"/>
      <c r="U6" s="303"/>
      <c r="V6" s="303"/>
    </row>
    <row r="7" spans="1:22" ht="13.2">
      <c r="A7" s="1478" t="s">
        <v>691</v>
      </c>
      <c r="C7" s="584"/>
      <c r="D7" s="584"/>
      <c r="E7" s="1746" t="s">
        <v>320</v>
      </c>
      <c r="F7" s="1746"/>
      <c r="G7" s="1746"/>
      <c r="H7" s="583"/>
      <c r="I7" s="1728"/>
      <c r="J7" s="585"/>
      <c r="K7" s="1731"/>
      <c r="L7" s="303"/>
      <c r="M7" s="303"/>
      <c r="N7" s="303"/>
      <c r="O7" s="303"/>
      <c r="P7" s="303"/>
      <c r="Q7" s="303"/>
      <c r="R7" s="303"/>
      <c r="S7" s="303"/>
      <c r="T7" s="303"/>
      <c r="U7" s="303"/>
      <c r="V7" s="303"/>
    </row>
    <row r="8" spans="1:22" ht="6" customHeight="1">
      <c r="A8" s="586"/>
      <c r="B8" s="586"/>
      <c r="C8" s="586"/>
      <c r="D8" s="586"/>
      <c r="E8" s="586"/>
      <c r="F8" s="586"/>
      <c r="G8" s="583"/>
      <c r="H8" s="583"/>
      <c r="I8" s="583"/>
      <c r="J8" s="303"/>
      <c r="K8" s="303"/>
      <c r="L8" s="303"/>
      <c r="M8" s="303"/>
      <c r="N8" s="303"/>
      <c r="O8" s="303"/>
      <c r="P8" s="303"/>
      <c r="Q8" s="303"/>
      <c r="R8" s="303"/>
      <c r="S8" s="303"/>
      <c r="T8" s="303"/>
      <c r="U8" s="303"/>
      <c r="V8" s="303"/>
    </row>
    <row r="9" spans="1:22" ht="11.25" customHeight="1">
      <c r="A9" s="587" t="s">
        <v>1122</v>
      </c>
      <c r="B9" s="588"/>
      <c r="C9" s="1185" t="s">
        <v>321</v>
      </c>
      <c r="D9" s="1186" t="s">
        <v>322</v>
      </c>
      <c r="E9" s="589" t="s">
        <v>323</v>
      </c>
      <c r="F9" s="590"/>
      <c r="G9" s="591"/>
      <c r="H9" s="591"/>
      <c r="I9" s="592"/>
      <c r="J9" s="303"/>
      <c r="K9" s="303"/>
      <c r="L9" s="303"/>
      <c r="M9" s="303"/>
      <c r="N9" s="303"/>
      <c r="O9" s="303"/>
      <c r="P9" s="303"/>
      <c r="Q9" s="303"/>
      <c r="R9" s="303"/>
      <c r="S9" s="303"/>
      <c r="T9" s="303"/>
      <c r="U9" s="303"/>
      <c r="V9" s="303"/>
    </row>
    <row r="10" spans="1:22" ht="10.5" customHeight="1">
      <c r="A10" s="593"/>
      <c r="B10" s="1184" t="s">
        <v>1339</v>
      </c>
      <c r="C10" s="1184" t="s">
        <v>1340</v>
      </c>
      <c r="D10" s="1183" t="s">
        <v>1341</v>
      </c>
      <c r="E10" s="1182" t="s">
        <v>1342</v>
      </c>
      <c r="F10" s="594"/>
      <c r="G10" s="595"/>
      <c r="H10" s="96"/>
      <c r="I10" s="596">
        <f>BudgetYearSalary</f>
        <v>43275</v>
      </c>
      <c r="J10" s="303"/>
      <c r="K10" s="303"/>
      <c r="L10" s="303"/>
      <c r="M10" s="303"/>
      <c r="N10" s="303"/>
      <c r="O10" s="303"/>
      <c r="P10" s="303"/>
      <c r="Q10" s="303"/>
      <c r="R10" s="303"/>
      <c r="S10" s="303"/>
      <c r="T10" s="303"/>
      <c r="U10" s="303"/>
      <c r="V10" s="303"/>
    </row>
    <row r="11" spans="1:22" ht="10.5" customHeight="1">
      <c r="A11" s="1742" t="s">
        <v>324</v>
      </c>
      <c r="B11" s="597"/>
      <c r="C11" s="597"/>
      <c r="D11" s="598"/>
      <c r="E11" s="1182" t="s">
        <v>1343</v>
      </c>
      <c r="F11" s="594"/>
      <c r="G11" s="595"/>
      <c r="H11" s="96"/>
      <c r="I11" s="596">
        <f>PriorYearSalary</f>
        <v>46780</v>
      </c>
      <c r="J11" s="303"/>
      <c r="K11" s="303"/>
      <c r="M11" s="599"/>
      <c r="N11" s="303"/>
      <c r="O11" s="303"/>
      <c r="P11" s="303"/>
      <c r="Q11" s="303"/>
      <c r="R11" s="303"/>
      <c r="S11" s="303"/>
      <c r="T11" s="303"/>
      <c r="U11" s="303"/>
      <c r="V11" s="303"/>
    </row>
    <row r="12" spans="1:22" ht="11.25" customHeight="1">
      <c r="A12" s="1743"/>
      <c r="B12" s="1067">
        <v>0</v>
      </c>
      <c r="C12" s="1067">
        <v>0</v>
      </c>
      <c r="D12" s="1068">
        <v>0</v>
      </c>
      <c r="E12" s="600" t="s">
        <v>325</v>
      </c>
      <c r="F12" s="594"/>
      <c r="G12" s="595"/>
      <c r="H12" s="96"/>
      <c r="I12" s="601">
        <f>SalaryIncrease</f>
        <v>-3505</v>
      </c>
      <c r="J12" s="303"/>
      <c r="K12" s="303"/>
      <c r="L12" s="303"/>
      <c r="M12" s="303"/>
      <c r="N12" s="303"/>
      <c r="O12" s="303"/>
      <c r="P12" s="303"/>
      <c r="Q12" s="303"/>
      <c r="R12" s="303"/>
      <c r="S12" s="303"/>
      <c r="T12" s="303"/>
      <c r="U12" s="303"/>
      <c r="V12" s="303"/>
    </row>
    <row r="13" spans="1:22" ht="10.5" customHeight="1">
      <c r="A13" s="602" t="s">
        <v>1123</v>
      </c>
      <c r="B13" s="603"/>
      <c r="C13" s="1303" t="s">
        <v>129</v>
      </c>
      <c r="D13" s="1304" t="s">
        <v>326</v>
      </c>
      <c r="E13" s="600" t="s">
        <v>327</v>
      </c>
      <c r="F13" s="594"/>
      <c r="G13" s="595"/>
      <c r="H13" s="96"/>
      <c r="I13" s="604">
        <f>PercentageIncrease</f>
        <v>-7.0000000000000007E-2</v>
      </c>
      <c r="J13" s="303"/>
      <c r="K13" s="303"/>
      <c r="L13" s="303"/>
      <c r="M13" s="303"/>
      <c r="N13" s="303"/>
      <c r="O13" s="303"/>
      <c r="P13" s="303"/>
      <c r="Q13" s="303"/>
      <c r="R13" s="303"/>
      <c r="S13" s="303"/>
      <c r="T13" s="303"/>
      <c r="U13" s="303"/>
      <c r="V13" s="303"/>
    </row>
    <row r="14" spans="1:22" ht="10.5" customHeight="1">
      <c r="A14" s="1744" t="s">
        <v>328</v>
      </c>
      <c r="B14" s="1745"/>
      <c r="C14" s="1113"/>
      <c r="D14" s="1113"/>
      <c r="E14" s="1112"/>
      <c r="I14" s="605"/>
      <c r="J14" s="303"/>
      <c r="K14" s="584"/>
      <c r="P14" s="303"/>
      <c r="Q14" s="303"/>
      <c r="R14" s="303"/>
      <c r="S14" s="303"/>
      <c r="T14" s="303"/>
      <c r="U14" s="303"/>
      <c r="V14" s="303"/>
    </row>
    <row r="15" spans="1:22" ht="10.5" customHeight="1">
      <c r="A15" s="1744"/>
      <c r="B15" s="1745"/>
      <c r="C15" s="1114"/>
      <c r="D15" s="1115"/>
      <c r="E15" s="1747" t="str">
        <f>IF(SalaryComments="","",SalaryComments)</f>
        <v>Comments on average salary calculation (optional): Average salary of teachers do not inlcude CSF base pay.  FY27 we've hired 2 new teachers and had 2 retire.  One teacher had over 40 year of experience.</v>
      </c>
      <c r="F15" s="1747"/>
      <c r="G15" s="1747"/>
      <c r="H15" s="1747"/>
      <c r="I15" s="1748"/>
      <c r="J15" s="303"/>
      <c r="K15" s="606"/>
      <c r="P15" s="303"/>
      <c r="Q15" s="303"/>
      <c r="R15" s="303"/>
      <c r="S15" s="303"/>
      <c r="T15" s="303"/>
      <c r="U15" s="303"/>
      <c r="V15" s="303"/>
    </row>
    <row r="16" spans="1:22" ht="9.75" customHeight="1">
      <c r="A16" s="1744"/>
      <c r="B16" s="1745"/>
      <c r="C16" s="1187">
        <f>PrimTaxRateCurrFY</f>
        <v>5.6740000000000004</v>
      </c>
      <c r="D16" s="1188">
        <f>EstTaxRateBudgFY</f>
        <v>5.2765000000000004</v>
      </c>
      <c r="E16" s="1749"/>
      <c r="F16" s="1749"/>
      <c r="G16" s="1749"/>
      <c r="H16" s="1749"/>
      <c r="I16" s="1750"/>
      <c r="J16" s="303"/>
      <c r="K16" s="606"/>
      <c r="P16" s="303"/>
      <c r="Q16" s="303"/>
      <c r="R16" s="303"/>
      <c r="S16" s="303"/>
      <c r="T16" s="303"/>
      <c r="U16" s="303"/>
      <c r="V16" s="303"/>
    </row>
    <row r="17" spans="1:22" ht="9.75" customHeight="1">
      <c r="A17" s="1738" t="s">
        <v>1124</v>
      </c>
      <c r="B17" s="1739"/>
      <c r="C17" s="1113"/>
      <c r="D17" s="1113"/>
      <c r="E17" s="1749"/>
      <c r="F17" s="1749"/>
      <c r="G17" s="1749"/>
      <c r="H17" s="1749"/>
      <c r="I17" s="1750"/>
      <c r="J17" s="303"/>
      <c r="K17" s="606"/>
      <c r="P17" s="303"/>
      <c r="Q17" s="303"/>
      <c r="R17" s="303"/>
      <c r="S17" s="303"/>
      <c r="T17" s="303"/>
      <c r="U17" s="303"/>
      <c r="V17" s="303"/>
    </row>
    <row r="18" spans="1:22" ht="11.25" customHeight="1">
      <c r="A18" s="1738"/>
      <c r="B18" s="1739"/>
      <c r="C18" s="1115"/>
      <c r="D18" s="1115"/>
      <c r="E18" s="1749"/>
      <c r="F18" s="1749"/>
      <c r="G18" s="1749"/>
      <c r="H18" s="1749"/>
      <c r="I18" s="1750"/>
      <c r="J18" s="303"/>
      <c r="K18" s="303"/>
      <c r="P18" s="303"/>
      <c r="Q18" s="303"/>
      <c r="R18" s="303"/>
      <c r="S18" s="303"/>
      <c r="T18" s="303"/>
      <c r="U18" s="303"/>
      <c r="V18" s="303"/>
    </row>
    <row r="19" spans="1:22" ht="11.25" customHeight="1">
      <c r="A19" s="1740"/>
      <c r="B19" s="1741"/>
      <c r="C19" s="1188">
        <f>TotSecTaxRateCurrFY</f>
        <v>0</v>
      </c>
      <c r="D19" s="1188">
        <f>TotSecTaxRateBudgFY</f>
        <v>0</v>
      </c>
      <c r="E19" s="1749"/>
      <c r="F19" s="1749"/>
      <c r="G19" s="1749"/>
      <c r="H19" s="1749"/>
      <c r="I19" s="1750"/>
      <c r="J19" s="303"/>
      <c r="K19" s="303"/>
      <c r="L19" s="303"/>
      <c r="M19" s="303"/>
      <c r="N19" s="303"/>
      <c r="O19" s="303"/>
      <c r="P19" s="303"/>
      <c r="Q19" s="303"/>
      <c r="R19" s="303"/>
      <c r="S19" s="303"/>
      <c r="T19" s="303"/>
      <c r="U19" s="303"/>
      <c r="V19" s="303"/>
    </row>
    <row r="20" spans="1:22" ht="10.5" customHeight="1">
      <c r="A20" s="602" t="s">
        <v>1028</v>
      </c>
      <c r="B20" s="1735" t="s">
        <v>1040</v>
      </c>
      <c r="C20" s="1755" t="s">
        <v>1061</v>
      </c>
      <c r="D20" s="1757" t="s">
        <v>1062</v>
      </c>
      <c r="E20" s="1751"/>
      <c r="F20" s="1749"/>
      <c r="G20" s="1749"/>
      <c r="H20" s="1749"/>
      <c r="I20" s="1750"/>
      <c r="J20" s="303"/>
      <c r="K20" s="303"/>
      <c r="L20" s="303"/>
      <c r="M20" s="303"/>
      <c r="N20" s="303"/>
      <c r="O20" s="303"/>
      <c r="P20" s="303"/>
      <c r="Q20" s="303"/>
      <c r="R20" s="303"/>
      <c r="S20" s="303"/>
      <c r="T20" s="303"/>
      <c r="U20" s="303"/>
      <c r="V20" s="303"/>
    </row>
    <row r="21" spans="1:22" ht="10.5" customHeight="1">
      <c r="A21" s="607"/>
      <c r="B21" s="1736"/>
      <c r="C21" s="1756"/>
      <c r="D21" s="1758"/>
      <c r="E21" s="1751"/>
      <c r="F21" s="1749"/>
      <c r="G21" s="1749"/>
      <c r="H21" s="1749"/>
      <c r="I21" s="1750"/>
      <c r="J21" s="303"/>
      <c r="K21" s="303"/>
      <c r="L21" s="303"/>
      <c r="M21" s="303"/>
      <c r="N21" s="303"/>
      <c r="O21" s="303"/>
      <c r="P21" s="303"/>
      <c r="Q21" s="303"/>
      <c r="R21" s="303"/>
      <c r="S21" s="303"/>
      <c r="T21" s="303"/>
      <c r="U21" s="303"/>
      <c r="V21" s="303"/>
    </row>
    <row r="22" spans="1:22" ht="10.5" customHeight="1">
      <c r="A22" s="586" t="s">
        <v>329</v>
      </c>
      <c r="B22" s="608">
        <f>F001TotalExp</f>
        <v>1424593</v>
      </c>
      <c r="C22" s="608">
        <f>F001Carryforward</f>
        <v>3244</v>
      </c>
      <c r="D22" s="609">
        <f>GBLBudgFY</f>
        <v>1427837</v>
      </c>
      <c r="E22" s="1751"/>
      <c r="F22" s="1749"/>
      <c r="G22" s="1749"/>
      <c r="H22" s="1749"/>
      <c r="I22" s="1750"/>
      <c r="J22" s="303"/>
      <c r="K22" s="303"/>
      <c r="L22" s="303"/>
      <c r="M22" s="303"/>
      <c r="N22" s="303"/>
      <c r="O22" s="303"/>
      <c r="P22" s="303"/>
      <c r="Q22" s="303"/>
      <c r="R22" s="303"/>
      <c r="S22" s="303"/>
      <c r="T22" s="303"/>
      <c r="U22" s="303"/>
      <c r="V22" s="303"/>
    </row>
    <row r="23" spans="1:22" ht="10.5" customHeight="1">
      <c r="A23" s="586" t="s">
        <v>330</v>
      </c>
      <c r="B23" s="610">
        <f>F010TotalExp</f>
        <v>254797</v>
      </c>
      <c r="C23" s="610">
        <f>F010Carryforward</f>
        <v>0</v>
      </c>
      <c r="D23" s="611">
        <f>'Page 3'!CSFBLBudgFY</f>
        <v>293210</v>
      </c>
      <c r="E23" s="1751"/>
      <c r="F23" s="1749"/>
      <c r="G23" s="1749"/>
      <c r="H23" s="1749"/>
      <c r="I23" s="1750"/>
      <c r="J23" s="303"/>
      <c r="K23" s="303"/>
      <c r="L23" s="303"/>
      <c r="M23" s="303"/>
      <c r="N23" s="303"/>
      <c r="O23" s="303"/>
      <c r="P23" s="303"/>
      <c r="Q23" s="303"/>
      <c r="R23" s="303"/>
      <c r="S23" s="303"/>
      <c r="T23" s="303"/>
      <c r="U23" s="303"/>
      <c r="V23" s="303"/>
    </row>
    <row r="24" spans="1:22" ht="10.5" customHeight="1">
      <c r="A24" s="1438" t="s">
        <v>331</v>
      </c>
      <c r="B24" s="612">
        <f>F610TotalBudgFY</f>
        <v>71500</v>
      </c>
      <c r="C24" s="612">
        <f>F610Carryforward</f>
        <v>143848</v>
      </c>
      <c r="D24" s="612">
        <f>UCBLBudgFY</f>
        <v>215348</v>
      </c>
      <c r="E24" s="1752"/>
      <c r="F24" s="1753"/>
      <c r="G24" s="1753"/>
      <c r="H24" s="1753"/>
      <c r="I24" s="1754"/>
      <c r="J24" s="303"/>
      <c r="K24" s="303"/>
      <c r="L24" s="303"/>
      <c r="M24" s="303"/>
      <c r="N24" s="303"/>
      <c r="O24" s="303"/>
      <c r="P24" s="303"/>
      <c r="Q24" s="303"/>
      <c r="R24" s="303"/>
      <c r="S24" s="303"/>
      <c r="T24" s="303"/>
      <c r="U24" s="303"/>
      <c r="V24" s="303"/>
    </row>
    <row r="25" spans="1:22" ht="9" customHeight="1">
      <c r="B25" s="1278"/>
      <c r="C25" s="613"/>
      <c r="J25" s="303"/>
      <c r="K25" s="303"/>
      <c r="L25" s="303"/>
      <c r="M25" s="303"/>
      <c r="N25" s="303"/>
      <c r="O25" s="303"/>
      <c r="P25" s="303"/>
      <c r="Q25" s="303"/>
      <c r="R25" s="303"/>
      <c r="S25" s="303"/>
      <c r="T25" s="303"/>
      <c r="U25" s="303"/>
      <c r="V25" s="303"/>
    </row>
    <row r="26" spans="1:22" ht="8.25" customHeight="1">
      <c r="A26" s="614"/>
      <c r="B26" s="614"/>
      <c r="C26" s="615"/>
      <c r="D26" s="615"/>
      <c r="E26" s="615"/>
      <c r="F26" s="615"/>
      <c r="G26" s="615"/>
      <c r="H26" s="615"/>
      <c r="I26" s="616"/>
      <c r="J26" s="303"/>
      <c r="K26" s="303"/>
      <c r="L26" s="303"/>
      <c r="M26" s="303"/>
      <c r="N26" s="303"/>
      <c r="O26" s="303"/>
      <c r="P26" s="303"/>
      <c r="Q26" s="303"/>
      <c r="R26" s="303"/>
      <c r="S26" s="303"/>
      <c r="T26" s="303"/>
      <c r="U26" s="303"/>
      <c r="V26" s="303"/>
    </row>
    <row r="27" spans="1:22" ht="11.4">
      <c r="A27" s="1732" t="s">
        <v>1125</v>
      </c>
      <c r="B27" s="1733"/>
      <c r="C27" s="1733"/>
      <c r="D27" s="1733"/>
      <c r="E27" s="1733"/>
      <c r="F27" s="1733"/>
      <c r="G27" s="1733"/>
      <c r="H27" s="1733"/>
      <c r="I27" s="1734"/>
      <c r="J27" s="303"/>
      <c r="K27" s="303"/>
      <c r="L27" s="303"/>
      <c r="M27" s="303"/>
      <c r="N27" s="303"/>
      <c r="O27" s="303"/>
      <c r="P27" s="303"/>
      <c r="Q27" s="303"/>
      <c r="R27" s="303"/>
      <c r="S27" s="303"/>
      <c r="T27" s="303"/>
      <c r="U27" s="303"/>
      <c r="V27" s="303"/>
    </row>
    <row r="28" spans="1:22" ht="11.4">
      <c r="A28" s="593"/>
      <c r="B28" s="617"/>
      <c r="C28" s="618"/>
      <c r="D28" s="619"/>
      <c r="E28" s="620"/>
      <c r="F28" s="621"/>
      <c r="G28" s="622" t="s">
        <v>42</v>
      </c>
      <c r="H28" s="623"/>
      <c r="I28" s="624" t="s">
        <v>332</v>
      </c>
      <c r="J28" s="303"/>
      <c r="K28" s="303"/>
      <c r="L28" s="303"/>
      <c r="M28" s="303"/>
      <c r="N28" s="303"/>
      <c r="O28" s="303"/>
      <c r="P28" s="303"/>
      <c r="Q28" s="303"/>
      <c r="R28" s="303"/>
      <c r="S28" s="303"/>
      <c r="T28" s="303"/>
      <c r="U28" s="303"/>
      <c r="V28" s="303"/>
    </row>
    <row r="29" spans="1:22" ht="11.4">
      <c r="A29" s="593"/>
      <c r="B29" s="586"/>
      <c r="C29" s="625" t="s">
        <v>1126</v>
      </c>
      <c r="D29" s="626"/>
      <c r="E29" s="627" t="s">
        <v>83</v>
      </c>
      <c r="F29" s="628"/>
      <c r="G29" s="626" t="s">
        <v>333</v>
      </c>
      <c r="H29" s="629"/>
      <c r="I29" s="630" t="s">
        <v>334</v>
      </c>
      <c r="J29" s="303"/>
      <c r="K29" s="303"/>
      <c r="L29" s="303"/>
      <c r="M29" s="303"/>
      <c r="N29" s="303"/>
      <c r="O29" s="303"/>
      <c r="P29" s="303"/>
      <c r="Q29" s="303"/>
      <c r="R29" s="303"/>
      <c r="S29" s="303"/>
      <c r="T29" s="303"/>
      <c r="U29" s="303"/>
      <c r="V29" s="303"/>
    </row>
    <row r="30" spans="1:22" ht="11.4">
      <c r="A30" s="593"/>
      <c r="B30" s="586"/>
      <c r="C30" s="624" t="s">
        <v>129</v>
      </c>
      <c r="D30" s="624" t="s">
        <v>130</v>
      </c>
      <c r="E30" s="630" t="s">
        <v>129</v>
      </c>
      <c r="F30" s="630" t="s">
        <v>130</v>
      </c>
      <c r="G30" s="624" t="s">
        <v>129</v>
      </c>
      <c r="H30" s="624" t="s">
        <v>130</v>
      </c>
      <c r="I30" s="630" t="s">
        <v>1127</v>
      </c>
      <c r="J30" s="303"/>
      <c r="K30" s="303"/>
      <c r="L30" s="303"/>
      <c r="M30" s="303"/>
      <c r="N30" s="303"/>
      <c r="O30" s="303"/>
      <c r="P30" s="303"/>
      <c r="Q30" s="303"/>
      <c r="R30" s="303"/>
      <c r="S30" s="303"/>
      <c r="T30" s="303"/>
      <c r="U30" s="303"/>
      <c r="V30" s="303"/>
    </row>
    <row r="31" spans="1:22" ht="7.5" customHeight="1">
      <c r="A31" s="593"/>
      <c r="B31" s="586"/>
      <c r="C31" s="1116"/>
      <c r="D31" s="1116"/>
      <c r="E31" s="1116"/>
      <c r="F31" s="1116"/>
      <c r="G31" s="1116"/>
      <c r="H31" s="1116"/>
      <c r="I31" s="1116"/>
      <c r="J31" s="303"/>
      <c r="K31" s="303"/>
      <c r="L31" s="303"/>
      <c r="M31" s="303"/>
      <c r="N31" s="303"/>
      <c r="O31" s="303"/>
      <c r="P31" s="303"/>
      <c r="Q31" s="303"/>
      <c r="R31" s="303"/>
      <c r="S31" s="303"/>
      <c r="T31" s="303"/>
      <c r="U31" s="303"/>
      <c r="V31" s="303"/>
    </row>
    <row r="32" spans="1:22" ht="12.75" customHeight="1">
      <c r="A32" s="607" t="s">
        <v>1029</v>
      </c>
      <c r="B32" s="586"/>
      <c r="C32" s="1113"/>
      <c r="D32" s="1113"/>
      <c r="E32" s="1113"/>
      <c r="F32" s="1113"/>
      <c r="G32" s="1113"/>
      <c r="H32" s="1113"/>
      <c r="I32" s="1113"/>
      <c r="J32" s="303"/>
      <c r="K32" s="303"/>
      <c r="L32" s="303"/>
      <c r="M32" s="303"/>
      <c r="N32" s="303"/>
      <c r="O32" s="303"/>
      <c r="P32" s="303"/>
      <c r="Q32" s="303"/>
      <c r="R32" s="303"/>
      <c r="S32" s="303"/>
      <c r="T32" s="303"/>
      <c r="U32" s="303"/>
      <c r="V32" s="303"/>
    </row>
    <row r="33" spans="1:22" ht="12.75" customHeight="1">
      <c r="A33" s="607" t="s">
        <v>96</v>
      </c>
      <c r="B33" s="586"/>
      <c r="C33" s="1189">
        <f>[1]!F001P100F1000SBBudgFY</f>
        <v>582168</v>
      </c>
      <c r="D33" s="1189">
        <f>F001P100F1000O6100+F001P100F1000O6200</f>
        <v>606638</v>
      </c>
      <c r="E33" s="1189">
        <f>[1]!F001P100F1000OthBudgFY</f>
        <v>11510</v>
      </c>
      <c r="F33" s="1189">
        <f>F001P100F1000O630064006500+F001P100F1000O6600+F001P100F1000O6800</f>
        <v>1300</v>
      </c>
      <c r="G33" s="1189">
        <f>C33+E33</f>
        <v>593678</v>
      </c>
      <c r="H33" s="1189">
        <f>D33+F33</f>
        <v>607938</v>
      </c>
      <c r="I33" s="1190">
        <f>IF(G33=H33,0,IF(G33&gt;0,(H33-G33)/G33,""))</f>
        <v>2.4E-2</v>
      </c>
      <c r="J33" s="303"/>
      <c r="K33" s="303"/>
      <c r="L33" s="303"/>
      <c r="M33" s="303"/>
      <c r="N33" s="303"/>
      <c r="O33" s="303"/>
      <c r="P33" s="303"/>
      <c r="Q33" s="303"/>
      <c r="R33" s="303"/>
      <c r="S33" s="303"/>
      <c r="T33" s="303"/>
      <c r="U33" s="303"/>
      <c r="V33" s="303"/>
    </row>
    <row r="34" spans="1:22" ht="12.75" customHeight="1">
      <c r="A34" s="607" t="s">
        <v>967</v>
      </c>
      <c r="B34" s="586"/>
      <c r="C34" s="1191"/>
      <c r="D34" s="1191"/>
      <c r="E34" s="1191"/>
      <c r="F34" s="1191"/>
      <c r="G34" s="1191"/>
      <c r="H34" s="1191"/>
      <c r="I34" s="1191"/>
      <c r="J34" s="303"/>
      <c r="K34" s="303"/>
      <c r="L34" s="303"/>
      <c r="M34" s="303"/>
      <c r="N34" s="303"/>
      <c r="O34" s="303"/>
      <c r="P34" s="303"/>
      <c r="Q34" s="303"/>
      <c r="R34" s="303"/>
      <c r="S34" s="303"/>
      <c r="T34" s="303"/>
      <c r="U34" s="303"/>
      <c r="V34" s="303"/>
    </row>
    <row r="35" spans="1:22" ht="12.75" customHeight="1">
      <c r="A35" s="607" t="s">
        <v>97</v>
      </c>
      <c r="B35" s="632"/>
      <c r="C35" s="1189">
        <f>[1]!F001P100F2100SBBudgFY</f>
        <v>64390</v>
      </c>
      <c r="D35" s="1189">
        <f>F001P100F2100O6100+F001P100F2100O6200</f>
        <v>64390</v>
      </c>
      <c r="E35" s="1189">
        <f>[1]!F001P100F2100OthBudgFY</f>
        <v>21666</v>
      </c>
      <c r="F35" s="1189">
        <f>F001P100F2100O630064006500+F001P100F2100O6600+F001P100F2100O6800</f>
        <v>13216</v>
      </c>
      <c r="G35" s="1189">
        <f>C35+E35</f>
        <v>86056</v>
      </c>
      <c r="H35" s="1189">
        <f>D35+F35</f>
        <v>77606</v>
      </c>
      <c r="I35" s="1190">
        <f>IF(G35=H35,0,IF(G35&gt;0,(H35-G35)/G35,""))</f>
        <v>-9.8000000000000004E-2</v>
      </c>
      <c r="J35" s="303"/>
      <c r="K35" s="303"/>
      <c r="L35" s="303"/>
      <c r="M35" s="303"/>
      <c r="N35" s="303"/>
      <c r="O35" s="303"/>
      <c r="P35" s="303"/>
      <c r="Q35" s="303"/>
      <c r="R35" s="303"/>
      <c r="S35" s="303"/>
      <c r="T35" s="303"/>
      <c r="U35" s="303"/>
      <c r="V35" s="303"/>
    </row>
    <row r="36" spans="1:22" ht="13.5" customHeight="1">
      <c r="A36" s="633" t="s">
        <v>968</v>
      </c>
      <c r="B36" s="586"/>
      <c r="C36" s="639">
        <f>[1]!F001P100F2200SBBudgFY</f>
        <v>0</v>
      </c>
      <c r="D36" s="639">
        <f>F001P100F2200O6100+F001P100F2200O6200</f>
        <v>0</v>
      </c>
      <c r="E36" s="639">
        <f>[1]!F001P100F2200OthBudgFY</f>
        <v>5050</v>
      </c>
      <c r="F36" s="639">
        <f>F001P100F2200O630064006500+F001P100F2200O6600+F001P100F2200O6800</f>
        <v>4720</v>
      </c>
      <c r="G36" s="639">
        <f t="shared" ref="G36:H43" si="0">C36+E36</f>
        <v>5050</v>
      </c>
      <c r="H36" s="639">
        <f t="shared" si="0"/>
        <v>4720</v>
      </c>
      <c r="I36" s="648">
        <f t="shared" ref="I36:I44" si="1">IF(G36=H36,0,IF(G36&gt;0,(H36-G36)/G36,""))</f>
        <v>-6.5000000000000002E-2</v>
      </c>
      <c r="J36" s="303"/>
      <c r="K36" s="303"/>
      <c r="L36" s="303"/>
      <c r="M36" s="303"/>
      <c r="N36" s="303"/>
      <c r="O36" s="303"/>
      <c r="P36" s="303"/>
      <c r="Q36" s="303"/>
      <c r="R36" s="303"/>
      <c r="S36" s="303"/>
      <c r="T36" s="303"/>
      <c r="U36" s="303"/>
      <c r="V36" s="303"/>
    </row>
    <row r="37" spans="1:22" ht="13.5" customHeight="1">
      <c r="A37" s="633" t="s">
        <v>335</v>
      </c>
      <c r="B37" s="637"/>
      <c r="C37" s="640">
        <f>[1]!F001P100F230024002500SBBudgFY</f>
        <v>225358</v>
      </c>
      <c r="D37" s="639">
        <f>F001P100F2300O6100+F001P100F2400O6100+F001P100F2500O6100+F001P100F2300O6200+F001P100F2400O6200+F001P100F2500O6200</f>
        <v>224858</v>
      </c>
      <c r="E37" s="640">
        <f>[1]!F001P100F230024002500OthBudgFY</f>
        <v>88325</v>
      </c>
      <c r="F37" s="639">
        <f>F001P100F2300O630064006500+F001P100F2300O6600+F001P100F2300O6800+F001P100F2400O630064006500+F001P100F2400O6600+F001P100F2400O6800+F001P100F2500O630064006500+F001P100F2500O6600+F001P100F2500O6800</f>
        <v>87015</v>
      </c>
      <c r="G37" s="640">
        <f t="shared" si="0"/>
        <v>313683</v>
      </c>
      <c r="H37" s="639">
        <f t="shared" si="0"/>
        <v>311873</v>
      </c>
      <c r="I37" s="646">
        <f t="shared" si="1"/>
        <v>-6.0000000000000001E-3</v>
      </c>
      <c r="J37" s="303"/>
      <c r="K37" s="303"/>
      <c r="L37" s="303"/>
      <c r="M37" s="303"/>
      <c r="N37" s="303"/>
      <c r="O37" s="303"/>
      <c r="P37" s="303"/>
      <c r="Q37" s="303"/>
      <c r="R37" s="303"/>
      <c r="S37" s="303"/>
      <c r="T37" s="303"/>
      <c r="U37" s="303"/>
      <c r="V37" s="303"/>
    </row>
    <row r="38" spans="1:22" ht="12.75" customHeight="1">
      <c r="A38" s="633" t="s">
        <v>1030</v>
      </c>
      <c r="B38" s="638"/>
      <c r="C38" s="640">
        <f>[1]!F001P100F2600SBBudgFY</f>
        <v>70250</v>
      </c>
      <c r="D38" s="639">
        <f>F001P100F2600O6100+F001P100F2600O6200</f>
        <v>70250</v>
      </c>
      <c r="E38" s="640">
        <f>[1]!F001P100F2600OthBudgFY</f>
        <v>101434</v>
      </c>
      <c r="F38" s="640">
        <f>F001P100F2600O630064006500+F001P100F2600O6600+F001P100F2600O6800</f>
        <v>106734</v>
      </c>
      <c r="G38" s="640">
        <f t="shared" si="0"/>
        <v>171684</v>
      </c>
      <c r="H38" s="639">
        <f t="shared" si="0"/>
        <v>176984</v>
      </c>
      <c r="I38" s="646">
        <f t="shared" si="1"/>
        <v>3.1E-2</v>
      </c>
      <c r="J38" s="303"/>
      <c r="K38" s="303"/>
      <c r="L38" s="303"/>
      <c r="M38" s="303"/>
      <c r="N38" s="303"/>
      <c r="O38" s="303"/>
      <c r="P38" s="303"/>
      <c r="Q38" s="303"/>
      <c r="R38" s="303"/>
      <c r="S38" s="303"/>
      <c r="T38" s="303"/>
      <c r="U38" s="303"/>
      <c r="V38" s="303"/>
    </row>
    <row r="39" spans="1:22" ht="13.5" customHeight="1">
      <c r="A39" s="607" t="s">
        <v>336</v>
      </c>
      <c r="B39" s="586"/>
      <c r="C39" s="640">
        <f>[1]!F001P100F2900SBBudgFY</f>
        <v>0</v>
      </c>
      <c r="D39" s="639">
        <f>F001P100F2900O6100+F001P100F2900O6200</f>
        <v>0</v>
      </c>
      <c r="E39" s="640">
        <f>[1]!F001P100F2900OthBudgFY</f>
        <v>0</v>
      </c>
      <c r="F39" s="640">
        <f>F001P100F2900O630064006500+F001P100F2900O6600+F001P100F2900O6800</f>
        <v>0</v>
      </c>
      <c r="G39" s="640">
        <f t="shared" si="0"/>
        <v>0</v>
      </c>
      <c r="H39" s="639">
        <f t="shared" si="0"/>
        <v>0</v>
      </c>
      <c r="I39" s="646">
        <f t="shared" si="1"/>
        <v>0</v>
      </c>
      <c r="J39" s="303"/>
      <c r="K39" s="303"/>
      <c r="L39" s="303"/>
      <c r="M39" s="303"/>
      <c r="N39" s="303"/>
      <c r="O39" s="303"/>
      <c r="P39" s="303"/>
      <c r="Q39" s="303"/>
      <c r="R39" s="303"/>
      <c r="S39" s="303"/>
      <c r="T39" s="303"/>
      <c r="U39" s="303"/>
      <c r="V39" s="303"/>
    </row>
    <row r="40" spans="1:22" ht="13.5" customHeight="1">
      <c r="A40" s="607" t="s">
        <v>1031</v>
      </c>
      <c r="B40" s="586"/>
      <c r="C40" s="640">
        <f>[1]!F001P100F3000SBBudgFY</f>
        <v>35700</v>
      </c>
      <c r="D40" s="639">
        <f>F001P100F3000O6100+F001P100F3000O6200</f>
        <v>38460</v>
      </c>
      <c r="E40" s="640">
        <f>[1]!F001P100F3000OthBudgFY</f>
        <v>4473</v>
      </c>
      <c r="F40" s="640">
        <f>F001P100F3000O630064006500+F001P100F3000O6600+F001P100F3000O6800</f>
        <v>4473</v>
      </c>
      <c r="G40" s="640">
        <f t="shared" si="0"/>
        <v>40173</v>
      </c>
      <c r="H40" s="639">
        <f t="shared" si="0"/>
        <v>42933</v>
      </c>
      <c r="I40" s="646">
        <f t="shared" si="1"/>
        <v>6.9000000000000006E-2</v>
      </c>
      <c r="J40" s="303"/>
      <c r="K40" s="303"/>
      <c r="L40" s="303"/>
      <c r="M40" s="303"/>
      <c r="N40" s="303"/>
      <c r="O40" s="303"/>
      <c r="P40" s="303"/>
      <c r="Q40" s="303"/>
      <c r="R40" s="303"/>
      <c r="S40" s="303"/>
      <c r="T40" s="303"/>
      <c r="U40" s="303"/>
      <c r="V40" s="303"/>
    </row>
    <row r="41" spans="1:22" ht="13.5" customHeight="1">
      <c r="A41" s="593" t="s">
        <v>1032</v>
      </c>
      <c r="B41" s="586"/>
      <c r="C41" s="640">
        <f>[1]!F001P610SBBudgFY</f>
        <v>27598</v>
      </c>
      <c r="D41" s="639">
        <f>F001P610O6100+F001P610O6200</f>
        <v>27599</v>
      </c>
      <c r="E41" s="640">
        <f>[1]!F001P610OthBudgFY</f>
        <v>2600</v>
      </c>
      <c r="F41" s="640">
        <f>F001P610O630064006500+F001P610O6600+F001P610O6800</f>
        <v>2500</v>
      </c>
      <c r="G41" s="640">
        <f t="shared" si="0"/>
        <v>30198</v>
      </c>
      <c r="H41" s="639">
        <f t="shared" si="0"/>
        <v>30099</v>
      </c>
      <c r="I41" s="646">
        <f t="shared" si="1"/>
        <v>-3.0000000000000001E-3</v>
      </c>
      <c r="J41" s="303"/>
      <c r="K41" s="303"/>
      <c r="L41" s="303"/>
      <c r="M41" s="303"/>
      <c r="N41" s="303"/>
      <c r="O41" s="303"/>
      <c r="P41" s="303"/>
      <c r="Q41" s="303"/>
      <c r="R41" s="303"/>
      <c r="S41" s="303"/>
      <c r="T41" s="303"/>
      <c r="U41" s="303"/>
      <c r="V41" s="303"/>
    </row>
    <row r="42" spans="1:22" ht="13.5" customHeight="1">
      <c r="A42" s="593" t="s">
        <v>1033</v>
      </c>
      <c r="B42" s="586"/>
      <c r="C42" s="640">
        <f>[1]!F001P620SBBudgFY</f>
        <v>9560</v>
      </c>
      <c r="D42" s="639">
        <f>F001P620O6100+F001P620O6200</f>
        <v>8285</v>
      </c>
      <c r="E42" s="640">
        <f>[1]!F001P620OthBudgFY</f>
        <v>1500</v>
      </c>
      <c r="F42" s="640">
        <f>F001P620O630064006500+F001P620O6600+F001P620O6800</f>
        <v>0</v>
      </c>
      <c r="G42" s="640">
        <f t="shared" si="0"/>
        <v>11060</v>
      </c>
      <c r="H42" s="639">
        <f t="shared" si="0"/>
        <v>8285</v>
      </c>
      <c r="I42" s="646">
        <f t="shared" si="1"/>
        <v>-0.251</v>
      </c>
      <c r="J42" s="303"/>
      <c r="K42" s="303"/>
      <c r="L42" s="303"/>
      <c r="M42" s="303"/>
      <c r="N42" s="303"/>
      <c r="O42" s="303"/>
      <c r="P42" s="303"/>
      <c r="Q42" s="303"/>
      <c r="R42" s="303"/>
      <c r="S42" s="303"/>
      <c r="T42" s="303"/>
      <c r="U42" s="303"/>
      <c r="V42" s="303"/>
    </row>
    <row r="43" spans="1:22" ht="13.5" customHeight="1">
      <c r="A43" s="593" t="s">
        <v>1034</v>
      </c>
      <c r="B43" s="586"/>
      <c r="C43" s="640">
        <f>[1]!F001P630700800900SBBudgFY</f>
        <v>0</v>
      </c>
      <c r="D43" s="639">
        <f>F001P630O6100+F001P630O6200+F001P700800900O6100+F001P700800900O6200</f>
        <v>0</v>
      </c>
      <c r="E43" s="640">
        <f>[1]!F001P630700800900OthBudgFY</f>
        <v>0</v>
      </c>
      <c r="F43" s="640">
        <f>F001P630O630064006500+F001P630O6600+F001P630O6800+F001P700800900O630064006500+F001P700800900O6600+F001P700800900O6800</f>
        <v>0</v>
      </c>
      <c r="G43" s="640">
        <f t="shared" si="0"/>
        <v>0</v>
      </c>
      <c r="H43" s="639">
        <f t="shared" si="0"/>
        <v>0</v>
      </c>
      <c r="I43" s="646">
        <f t="shared" si="1"/>
        <v>0</v>
      </c>
      <c r="J43" s="303"/>
      <c r="K43" s="303"/>
      <c r="L43" s="303"/>
      <c r="M43" s="303"/>
      <c r="N43" s="303"/>
      <c r="O43" s="303"/>
      <c r="P43" s="303"/>
      <c r="Q43" s="303"/>
      <c r="R43" s="303"/>
      <c r="S43" s="303"/>
      <c r="T43" s="303"/>
      <c r="U43" s="303"/>
      <c r="V43" s="303"/>
    </row>
    <row r="44" spans="1:22" ht="12.75" customHeight="1">
      <c r="A44" s="641" t="s">
        <v>1035</v>
      </c>
      <c r="B44" s="617"/>
      <c r="C44" s="1192">
        <f t="shared" ref="C44:H44" si="2">SUM(C33:C43)</f>
        <v>1015024</v>
      </c>
      <c r="D44" s="1192">
        <f t="shared" si="2"/>
        <v>1040480</v>
      </c>
      <c r="E44" s="1192">
        <f t="shared" si="2"/>
        <v>236558</v>
      </c>
      <c r="F44" s="1192">
        <f t="shared" si="2"/>
        <v>219958</v>
      </c>
      <c r="G44" s="1192">
        <f t="shared" si="2"/>
        <v>1251582</v>
      </c>
      <c r="H44" s="1192">
        <f t="shared" si="2"/>
        <v>1260438</v>
      </c>
      <c r="I44" s="1193">
        <f t="shared" si="1"/>
        <v>7.0000000000000001E-3</v>
      </c>
      <c r="J44" s="303"/>
      <c r="K44" s="303"/>
      <c r="L44" s="303"/>
      <c r="M44" s="303"/>
      <c r="N44" s="303"/>
      <c r="O44" s="303"/>
      <c r="P44" s="303"/>
      <c r="Q44" s="303"/>
      <c r="R44" s="303"/>
      <c r="S44" s="303"/>
      <c r="T44" s="303"/>
      <c r="U44" s="303"/>
      <c r="V44" s="303"/>
    </row>
    <row r="45" spans="1:22" ht="12.75" customHeight="1">
      <c r="A45" s="607" t="s">
        <v>977</v>
      </c>
      <c r="B45" s="586"/>
      <c r="C45" s="1191"/>
      <c r="D45" s="1191"/>
      <c r="E45" s="1191"/>
      <c r="F45" s="1191"/>
      <c r="G45" s="1191"/>
      <c r="H45" s="1191"/>
      <c r="I45" s="1191"/>
      <c r="J45" s="303"/>
      <c r="K45" s="303"/>
      <c r="L45" s="303"/>
      <c r="M45" s="303"/>
      <c r="N45" s="303"/>
      <c r="O45" s="303"/>
      <c r="P45" s="303"/>
      <c r="Q45" s="303"/>
      <c r="R45" s="303"/>
      <c r="S45" s="303"/>
      <c r="T45" s="303"/>
      <c r="U45" s="303"/>
      <c r="V45" s="303"/>
    </row>
    <row r="46" spans="1:22" ht="12.75" customHeight="1">
      <c r="A46" s="607" t="s">
        <v>96</v>
      </c>
      <c r="B46" s="586"/>
      <c r="C46" s="1189">
        <f>[1]!F001P200F1000SBBudgFY</f>
        <v>8252</v>
      </c>
      <c r="D46" s="1189">
        <f>F001P200F1000O6100+F001P200F1000O6200</f>
        <v>30000</v>
      </c>
      <c r="E46" s="1189">
        <f>[1]!F001P200F1000OthBudgFY</f>
        <v>1000</v>
      </c>
      <c r="F46" s="1189">
        <f>F001P200F1000O630064006500+F001P200F1000O6600+F001P200F1000O6800</f>
        <v>1000</v>
      </c>
      <c r="G46" s="1189">
        <f>C46+E46</f>
        <v>9252</v>
      </c>
      <c r="H46" s="1189">
        <f>D46+F46</f>
        <v>31000</v>
      </c>
      <c r="I46" s="1190">
        <f>IF(G46=H46,0,IF(G46&gt;0,(H46-G46)/G46,""))</f>
        <v>2.351</v>
      </c>
      <c r="J46" s="303"/>
      <c r="K46" s="303"/>
      <c r="L46" s="303"/>
      <c r="M46" s="303"/>
      <c r="N46" s="303"/>
      <c r="O46" s="303"/>
      <c r="P46" s="303"/>
      <c r="Q46" s="303"/>
      <c r="R46" s="303"/>
      <c r="S46" s="303"/>
      <c r="T46" s="303"/>
      <c r="U46" s="303"/>
      <c r="V46" s="303"/>
    </row>
    <row r="47" spans="1:22" ht="12.75" customHeight="1">
      <c r="A47" s="607" t="s">
        <v>967</v>
      </c>
      <c r="B47" s="586"/>
      <c r="C47" s="1191"/>
      <c r="D47" s="1191"/>
      <c r="E47" s="1191"/>
      <c r="F47" s="1191"/>
      <c r="G47" s="1191"/>
      <c r="H47" s="1191"/>
      <c r="I47" s="1191"/>
      <c r="J47" s="303"/>
      <c r="K47" s="303"/>
      <c r="L47" s="303"/>
      <c r="M47" s="303"/>
      <c r="N47" s="303"/>
      <c r="O47" s="303"/>
      <c r="P47" s="303"/>
      <c r="Q47" s="303"/>
      <c r="R47" s="303"/>
      <c r="S47" s="303"/>
      <c r="T47" s="303"/>
      <c r="U47" s="303"/>
      <c r="V47" s="303"/>
    </row>
    <row r="48" spans="1:22" ht="12.75" customHeight="1">
      <c r="A48" s="607" t="s">
        <v>97</v>
      </c>
      <c r="B48" s="632"/>
      <c r="C48" s="1189">
        <f>[1]!F001P200F2100SBBudgFY</f>
        <v>13618</v>
      </c>
      <c r="D48" s="1189">
        <f>F001P200F2100O6100+F001P200F2100O6200</f>
        <v>13093</v>
      </c>
      <c r="E48" s="1189">
        <f>[1]!F001P200F2100OthBudgFY</f>
        <v>17300</v>
      </c>
      <c r="F48" s="1189">
        <f>F001P200F2100O630064006500+F001P200F2100O6600+F001P200F2100O6800</f>
        <v>17550</v>
      </c>
      <c r="G48" s="1189">
        <f>C48+E48</f>
        <v>30918</v>
      </c>
      <c r="H48" s="1189">
        <f>D48+F48</f>
        <v>30643</v>
      </c>
      <c r="I48" s="1190">
        <f>IF(G48=H48,0,IF(G48&gt;0,(H48-G48)/G48,""))</f>
        <v>-8.9999999999999993E-3</v>
      </c>
      <c r="J48" s="303"/>
      <c r="K48" s="303"/>
      <c r="L48" s="303"/>
      <c r="M48" s="303"/>
      <c r="N48" s="303"/>
      <c r="O48" s="303"/>
      <c r="P48" s="303"/>
      <c r="Q48" s="303"/>
      <c r="R48" s="303"/>
      <c r="S48" s="303"/>
      <c r="T48" s="303"/>
      <c r="U48" s="303"/>
      <c r="V48" s="303"/>
    </row>
    <row r="49" spans="1:22" ht="13.5" customHeight="1">
      <c r="A49" s="633" t="s">
        <v>968</v>
      </c>
      <c r="B49" s="586"/>
      <c r="C49" s="639">
        <f>[1]!F001P200F2200SBBudgFY</f>
        <v>4650</v>
      </c>
      <c r="D49" s="639">
        <f>F001P200F2200O6100+F001P200F2200O6200</f>
        <v>0</v>
      </c>
      <c r="E49" s="639">
        <f>[1]!F001P200F2200OthBudgFY</f>
        <v>4056</v>
      </c>
      <c r="F49" s="639">
        <f>F001P200F2200O630064006500+F001P200F2200O6600+F001P200F2200O6800</f>
        <v>0</v>
      </c>
      <c r="G49" s="639">
        <f t="shared" ref="G49:G57" si="3">C49+E49</f>
        <v>8706</v>
      </c>
      <c r="H49" s="639">
        <f t="shared" ref="H49:H57" si="4">D49+F49</f>
        <v>0</v>
      </c>
      <c r="I49" s="648">
        <f t="shared" ref="I49:I57" si="5">IF(G49=H49,0,IF(G49&gt;0,(H49-G49)/G49,""))</f>
        <v>-1</v>
      </c>
      <c r="J49" s="303"/>
      <c r="K49" s="303"/>
      <c r="L49" s="303"/>
      <c r="M49" s="303"/>
      <c r="N49" s="303"/>
      <c r="O49" s="303"/>
      <c r="P49" s="303"/>
      <c r="Q49" s="303"/>
      <c r="R49" s="303"/>
      <c r="S49" s="303"/>
      <c r="T49" s="303"/>
      <c r="U49" s="303"/>
      <c r="V49" s="303"/>
    </row>
    <row r="50" spans="1:22" ht="13.5" customHeight="1">
      <c r="A50" s="633" t="s">
        <v>335</v>
      </c>
      <c r="B50" s="637"/>
      <c r="C50" s="640">
        <f>[1]!F001P200F230024002500SBBudgFY</f>
        <v>0</v>
      </c>
      <c r="D50" s="640">
        <f>F001P200F2300O6100+F001P200F2300O6200+F001P200F2400O6100+F001P200F2400O6200+F001P200F2500O6100+F001P200F2500O6200</f>
        <v>0</v>
      </c>
      <c r="E50" s="640">
        <f>[1]!F001P200F230024002500OthBudgFY</f>
        <v>0</v>
      </c>
      <c r="F50" s="640">
        <f>F001P200F2300O630064006500+F001P200F2300O6600+F001P200F2300O6800+F001P200F2400O630064006500+F001P200F2400O6600+F001P200F2400O6800+F001P200F2500O630064006500+F001P200F2500O6600+F001P200F2500O6800</f>
        <v>0</v>
      </c>
      <c r="G50" s="640">
        <f t="shared" si="3"/>
        <v>0</v>
      </c>
      <c r="H50" s="639">
        <f t="shared" si="4"/>
        <v>0</v>
      </c>
      <c r="I50" s="646">
        <f t="shared" si="5"/>
        <v>0</v>
      </c>
      <c r="J50" s="303"/>
      <c r="K50" s="303"/>
      <c r="L50" s="303"/>
      <c r="M50" s="303"/>
      <c r="N50" s="303"/>
      <c r="O50" s="303"/>
      <c r="P50" s="303"/>
      <c r="Q50" s="303"/>
      <c r="R50" s="303"/>
      <c r="S50" s="303"/>
      <c r="T50" s="303"/>
      <c r="U50" s="303"/>
      <c r="V50" s="303"/>
    </row>
    <row r="51" spans="1:22" ht="13.5" customHeight="1">
      <c r="A51" s="633" t="s">
        <v>1030</v>
      </c>
      <c r="B51" s="638"/>
      <c r="C51" s="640">
        <f>[1]!F001P200F2600SBBudgFY</f>
        <v>0</v>
      </c>
      <c r="D51" s="640">
        <f>F001P200F2600O6100+F001P200F2600O6200</f>
        <v>0</v>
      </c>
      <c r="E51" s="640">
        <f>[1]!F001P200F2600OthBudgFY</f>
        <v>0</v>
      </c>
      <c r="F51" s="640">
        <f>F001P200F2600O630064006500+F001P200F2600O6600+F001P200F2600O6800</f>
        <v>0</v>
      </c>
      <c r="G51" s="640">
        <f t="shared" si="3"/>
        <v>0</v>
      </c>
      <c r="H51" s="639">
        <f t="shared" si="4"/>
        <v>0</v>
      </c>
      <c r="I51" s="646">
        <f t="shared" si="5"/>
        <v>0</v>
      </c>
      <c r="J51" s="303"/>
      <c r="K51" s="303"/>
      <c r="L51" s="303"/>
      <c r="M51" s="303"/>
      <c r="N51" s="303"/>
      <c r="O51" s="303"/>
      <c r="P51" s="303"/>
      <c r="Q51" s="303"/>
      <c r="R51" s="303"/>
      <c r="S51" s="303"/>
      <c r="T51" s="303"/>
      <c r="U51" s="303"/>
      <c r="V51" s="303"/>
    </row>
    <row r="52" spans="1:22" ht="13.5" customHeight="1">
      <c r="A52" s="607" t="s">
        <v>336</v>
      </c>
      <c r="B52" s="586"/>
      <c r="C52" s="640">
        <f>[1]!F001P200F2900SBBudgFY</f>
        <v>0</v>
      </c>
      <c r="D52" s="640">
        <f>F001P200F2900O6100+F001P200F2900O6200</f>
        <v>0</v>
      </c>
      <c r="E52" s="640">
        <f>[1]!F001P200F2900OthBudgFY</f>
        <v>0</v>
      </c>
      <c r="F52" s="640">
        <f>F001P200F2900O630064006500+F001P200F2900O6600+F001P200F2900O6800</f>
        <v>0</v>
      </c>
      <c r="G52" s="640">
        <f t="shared" si="3"/>
        <v>0</v>
      </c>
      <c r="H52" s="639">
        <f t="shared" si="4"/>
        <v>0</v>
      </c>
      <c r="I52" s="646">
        <f t="shared" si="5"/>
        <v>0</v>
      </c>
      <c r="J52" s="303"/>
      <c r="K52" s="303"/>
      <c r="L52" s="303"/>
      <c r="M52" s="303"/>
      <c r="N52" s="303"/>
      <c r="O52" s="303"/>
      <c r="P52" s="303"/>
      <c r="Q52" s="303"/>
      <c r="R52" s="303"/>
      <c r="S52" s="303"/>
      <c r="T52" s="303"/>
      <c r="U52" s="303"/>
      <c r="V52" s="303"/>
    </row>
    <row r="53" spans="1:22" ht="13.5" customHeight="1">
      <c r="A53" s="607" t="s">
        <v>1036</v>
      </c>
      <c r="B53" s="586"/>
      <c r="C53" s="640">
        <f>[1]!F001P200F3000SBBudgFY</f>
        <v>0</v>
      </c>
      <c r="D53" s="640">
        <f>F001P200F3000O6100+F001P200F3000O6200</f>
        <v>0</v>
      </c>
      <c r="E53" s="640">
        <f>[1]!F001P200F3000OthBudgFY</f>
        <v>0</v>
      </c>
      <c r="F53" s="640">
        <f>F001P200F3000O630064006500+F001P200F3000O6600+F001P200F3000O6800</f>
        <v>0</v>
      </c>
      <c r="G53" s="640">
        <f t="shared" si="3"/>
        <v>0</v>
      </c>
      <c r="H53" s="639">
        <f t="shared" si="4"/>
        <v>0</v>
      </c>
      <c r="I53" s="646">
        <f t="shared" si="5"/>
        <v>0</v>
      </c>
      <c r="J53" s="303"/>
      <c r="K53" s="303"/>
      <c r="L53" s="303"/>
      <c r="M53" s="303"/>
      <c r="N53" s="303"/>
      <c r="O53" s="303"/>
      <c r="P53" s="303"/>
      <c r="Q53" s="303"/>
      <c r="R53" s="303"/>
      <c r="S53" s="303"/>
      <c r="T53" s="303"/>
      <c r="U53" s="303"/>
      <c r="V53" s="303"/>
    </row>
    <row r="54" spans="1:22" ht="13.5" customHeight="1">
      <c r="A54" s="641" t="s">
        <v>1037</v>
      </c>
      <c r="B54" s="586"/>
      <c r="C54" s="645">
        <f t="shared" ref="C54:H54" si="6">SUM(C46:C53)</f>
        <v>26520</v>
      </c>
      <c r="D54" s="645">
        <f t="shared" si="6"/>
        <v>43093</v>
      </c>
      <c r="E54" s="645">
        <f t="shared" si="6"/>
        <v>22356</v>
      </c>
      <c r="F54" s="645">
        <f t="shared" si="6"/>
        <v>18550</v>
      </c>
      <c r="G54" s="640">
        <f t="shared" si="6"/>
        <v>48876</v>
      </c>
      <c r="H54" s="640">
        <f t="shared" si="6"/>
        <v>61643</v>
      </c>
      <c r="I54" s="646">
        <f t="shared" si="5"/>
        <v>0.26100000000000001</v>
      </c>
      <c r="J54" s="303"/>
      <c r="K54" s="303"/>
      <c r="L54" s="303"/>
      <c r="M54" s="303"/>
      <c r="N54" s="303"/>
      <c r="O54" s="303"/>
      <c r="P54" s="303"/>
      <c r="Q54" s="303"/>
      <c r="R54" s="303"/>
      <c r="S54" s="303"/>
      <c r="T54" s="303"/>
      <c r="U54" s="303"/>
      <c r="V54" s="303"/>
    </row>
    <row r="55" spans="1:22" ht="13.5" customHeight="1">
      <c r="A55" s="607" t="s">
        <v>978</v>
      </c>
      <c r="B55" s="643"/>
      <c r="C55" s="640">
        <f>[1]!F001P400SBBudgFY</f>
        <v>53510</v>
      </c>
      <c r="D55" s="645">
        <f>F001P400O6100+F001P400O6200</f>
        <v>53510</v>
      </c>
      <c r="E55" s="640">
        <f>[1]!F001P400OthBudgFy</f>
        <v>38000</v>
      </c>
      <c r="F55" s="645">
        <f>F001P400O630064006500+F001P400O6600+F001P400O6800</f>
        <v>38000</v>
      </c>
      <c r="G55" s="640">
        <f t="shared" si="3"/>
        <v>91510</v>
      </c>
      <c r="H55" s="639">
        <f t="shared" si="4"/>
        <v>91510</v>
      </c>
      <c r="I55" s="646">
        <f t="shared" si="5"/>
        <v>0</v>
      </c>
      <c r="J55" s="303"/>
      <c r="K55" s="303"/>
      <c r="L55" s="303"/>
      <c r="M55" s="303"/>
      <c r="N55" s="303"/>
      <c r="O55" s="303"/>
      <c r="P55" s="303"/>
      <c r="Q55" s="303"/>
      <c r="R55" s="303"/>
      <c r="S55" s="303"/>
      <c r="T55" s="303"/>
      <c r="U55" s="303"/>
      <c r="V55" s="303"/>
    </row>
    <row r="56" spans="1:22" ht="13.5" customHeight="1">
      <c r="A56" s="633" t="s">
        <v>337</v>
      </c>
      <c r="B56" s="644"/>
      <c r="C56" s="640">
        <f>[1]!F001P510SBBudgFY</f>
        <v>0</v>
      </c>
      <c r="D56" s="645">
        <f>F001P510O6100+F001P510O6200</f>
        <v>0</v>
      </c>
      <c r="E56" s="640">
        <f>[1]!F001P510OthBudgFY</f>
        <v>0</v>
      </c>
      <c r="F56" s="645">
        <f>F001P510O630064006500+F001P510O6600+F001P510O6800</f>
        <v>0</v>
      </c>
      <c r="G56" s="640">
        <f t="shared" si="3"/>
        <v>0</v>
      </c>
      <c r="H56" s="639">
        <f t="shared" si="4"/>
        <v>0</v>
      </c>
      <c r="I56" s="646">
        <f t="shared" si="5"/>
        <v>0</v>
      </c>
      <c r="J56" s="303"/>
      <c r="K56" s="303"/>
      <c r="L56" s="303"/>
      <c r="M56" s="303"/>
      <c r="N56" s="303"/>
      <c r="O56" s="303"/>
      <c r="P56" s="303"/>
      <c r="Q56" s="303"/>
      <c r="R56" s="303"/>
      <c r="S56" s="303"/>
      <c r="T56" s="303"/>
      <c r="U56" s="303"/>
      <c r="V56" s="303"/>
    </row>
    <row r="57" spans="1:22" ht="13.5" customHeight="1">
      <c r="A57" s="607" t="s">
        <v>979</v>
      </c>
      <c r="B57" s="643"/>
      <c r="C57" s="631">
        <f>[1]!F001P530SBBudgFY</f>
        <v>0</v>
      </c>
      <c r="D57" s="1194">
        <f>F001P530O6100+F001P530O6200</f>
        <v>0</v>
      </c>
      <c r="E57" s="631">
        <f>[1]!F001P530OthBudgFY</f>
        <v>0</v>
      </c>
      <c r="F57" s="1194">
        <f>F001P530O630064006500+F001P530O6600+F001P530O6800</f>
        <v>0</v>
      </c>
      <c r="G57" s="631">
        <f t="shared" si="3"/>
        <v>0</v>
      </c>
      <c r="H57" s="1192">
        <f t="shared" si="4"/>
        <v>0</v>
      </c>
      <c r="I57" s="1193">
        <f t="shared" si="5"/>
        <v>0</v>
      </c>
      <c r="J57" s="303"/>
      <c r="K57" s="303"/>
      <c r="L57" s="303"/>
      <c r="M57" s="303"/>
      <c r="N57" s="303"/>
      <c r="O57" s="303"/>
      <c r="P57" s="303"/>
      <c r="Q57" s="303"/>
      <c r="R57" s="303"/>
      <c r="S57" s="303"/>
      <c r="T57" s="303"/>
      <c r="U57" s="303"/>
      <c r="V57" s="303"/>
    </row>
    <row r="58" spans="1:22" ht="12.75" customHeight="1">
      <c r="A58" s="607" t="s">
        <v>1038</v>
      </c>
      <c r="B58" s="1071"/>
      <c r="C58" s="1191"/>
      <c r="D58" s="1191"/>
      <c r="E58" s="1191"/>
      <c r="F58" s="1191"/>
      <c r="G58" s="1191"/>
      <c r="H58" s="1191"/>
      <c r="I58" s="1191"/>
      <c r="J58" s="303"/>
      <c r="K58" s="303"/>
      <c r="L58" s="303"/>
      <c r="M58" s="303"/>
      <c r="N58" s="303"/>
      <c r="O58" s="303"/>
      <c r="P58" s="303"/>
      <c r="Q58" s="303"/>
      <c r="R58" s="303"/>
      <c r="S58" s="303"/>
      <c r="T58" s="303"/>
      <c r="U58" s="303"/>
      <c r="V58" s="303"/>
    </row>
    <row r="59" spans="1:22" ht="12.75" customHeight="1">
      <c r="A59" s="607" t="s">
        <v>1128</v>
      </c>
      <c r="B59" s="1071"/>
      <c r="C59" s="1189">
        <f>[1]!F001P540SBBudgFY</f>
        <v>0</v>
      </c>
      <c r="D59" s="1195">
        <f>F001P540O6100+F001P540O6200</f>
        <v>0</v>
      </c>
      <c r="E59" s="1189">
        <f>[1]!F001P540OthBudgFY</f>
        <v>0</v>
      </c>
      <c r="F59" s="1195">
        <f>F001P540O630064006500+F001P540O6600+F001P540O6800</f>
        <v>0</v>
      </c>
      <c r="G59" s="1189">
        <f>C59+E59</f>
        <v>0</v>
      </c>
      <c r="H59" s="1189">
        <f>D59+F59</f>
        <v>0</v>
      </c>
      <c r="I59" s="1190">
        <f>IF(G59=H59,0,IF(G59&gt;0,(H59-G59)/G59,""))</f>
        <v>0</v>
      </c>
      <c r="J59" s="303"/>
      <c r="K59" s="303"/>
      <c r="L59" s="303"/>
      <c r="M59" s="303"/>
      <c r="N59" s="303"/>
      <c r="O59" s="303"/>
      <c r="P59" s="303"/>
      <c r="Q59" s="303"/>
      <c r="R59" s="303"/>
      <c r="S59" s="303"/>
      <c r="T59" s="303"/>
      <c r="U59" s="303"/>
      <c r="V59" s="303"/>
    </row>
    <row r="60" spans="1:22" ht="14.25" customHeight="1">
      <c r="A60" s="633" t="s">
        <v>1039</v>
      </c>
      <c r="B60" s="1268"/>
      <c r="C60" s="635">
        <f>[1]!F001P550SBBudgFY</f>
        <v>10978</v>
      </c>
      <c r="D60" s="647">
        <f>F001P550O6100+F001P550O6200</f>
        <v>11002</v>
      </c>
      <c r="E60" s="635">
        <f>[1]!F001P550OthBudgFY</f>
        <v>0</v>
      </c>
      <c r="F60" s="647">
        <f>F001P550O630064006500+F001P550O6600+F001P550O6800</f>
        <v>0</v>
      </c>
      <c r="G60" s="635">
        <f>C60+E60</f>
        <v>10978</v>
      </c>
      <c r="H60" s="639">
        <f>D60+F60</f>
        <v>11002</v>
      </c>
      <c r="I60" s="648">
        <f>IF(G60=H60,0,IF(G60&gt;0,(H60-G60)/G60,""))</f>
        <v>2E-3</v>
      </c>
      <c r="J60" s="303"/>
      <c r="K60" s="303"/>
      <c r="L60" s="303"/>
      <c r="M60" s="303"/>
      <c r="N60" s="303"/>
      <c r="O60" s="303"/>
      <c r="P60" s="303"/>
      <c r="Q60" s="303"/>
      <c r="R60" s="303"/>
      <c r="S60" s="303"/>
      <c r="T60" s="303"/>
      <c r="U60" s="303"/>
      <c r="V60" s="303"/>
    </row>
    <row r="61" spans="1:22" ht="12.75" customHeight="1">
      <c r="A61" s="637" t="s">
        <v>1040</v>
      </c>
      <c r="B61" s="1521"/>
      <c r="C61" s="642">
        <f t="shared" ref="C61:H61" si="7">SUM(C54:C60)+C44</f>
        <v>1106032</v>
      </c>
      <c r="D61" s="642">
        <f t="shared" si="7"/>
        <v>1148085</v>
      </c>
      <c r="E61" s="642">
        <f t="shared" si="7"/>
        <v>296914</v>
      </c>
      <c r="F61" s="642">
        <f t="shared" si="7"/>
        <v>276508</v>
      </c>
      <c r="G61" s="642">
        <f t="shared" si="7"/>
        <v>1402946</v>
      </c>
      <c r="H61" s="642">
        <f t="shared" si="7"/>
        <v>1424593</v>
      </c>
      <c r="I61" s="636">
        <f>IF(G61=H61,0,IF(G61&gt;0,(H61-G61)/G61,""))</f>
        <v>1.4999999999999999E-2</v>
      </c>
      <c r="J61" s="303"/>
      <c r="K61" s="303"/>
      <c r="L61" s="303"/>
      <c r="M61" s="303"/>
      <c r="N61" s="303"/>
      <c r="O61" s="303"/>
      <c r="P61" s="303"/>
      <c r="Q61" s="303"/>
      <c r="R61" s="303"/>
      <c r="S61" s="303"/>
      <c r="T61" s="303"/>
      <c r="U61" s="303"/>
      <c r="V61" s="303"/>
    </row>
    <row r="62" spans="1:22" ht="12">
      <c r="A62" s="1522" t="s">
        <v>1344</v>
      </c>
      <c r="B62" s="1521"/>
      <c r="C62" s="1331"/>
      <c r="D62" s="1331"/>
      <c r="E62" s="1331"/>
      <c r="F62" s="1331"/>
      <c r="G62" s="1537">
        <f>'Page 1'!$K$43</f>
        <v>100000</v>
      </c>
      <c r="H62" s="1192">
        <f>F001Carryforward</f>
        <v>3244</v>
      </c>
      <c r="I62" s="1331"/>
      <c r="J62" s="303"/>
      <c r="K62" s="303"/>
      <c r="L62" s="303"/>
      <c r="M62" s="303"/>
      <c r="N62" s="303"/>
      <c r="O62" s="303"/>
      <c r="P62" s="303"/>
      <c r="Q62" s="303"/>
      <c r="R62" s="303"/>
      <c r="S62" s="303"/>
      <c r="T62" s="303"/>
      <c r="U62" s="303"/>
      <c r="V62" s="303"/>
    </row>
    <row r="63" spans="1:22" ht="11.4">
      <c r="A63" s="1440" t="s">
        <v>1129</v>
      </c>
      <c r="B63" s="1441"/>
      <c r="C63" s="1439">
        <f>C61</f>
        <v>1106032</v>
      </c>
      <c r="D63" s="1439">
        <f t="shared" ref="D63:F63" si="8">D61</f>
        <v>1148085</v>
      </c>
      <c r="E63" s="1439">
        <f t="shared" si="8"/>
        <v>296914</v>
      </c>
      <c r="F63" s="1439">
        <f t="shared" si="8"/>
        <v>276508</v>
      </c>
      <c r="G63" s="1439">
        <f>G61+G62</f>
        <v>1502946</v>
      </c>
      <c r="H63" s="1439">
        <f>H61+H62</f>
        <v>1427837</v>
      </c>
      <c r="I63" s="636">
        <f>IF(G63=H63,0,IF(G63&gt;0,(H63-G63)/G63,""))</f>
        <v>-0.05</v>
      </c>
      <c r="J63" s="303"/>
      <c r="K63" s="303"/>
      <c r="L63" s="303"/>
      <c r="M63" s="303"/>
      <c r="N63" s="303"/>
      <c r="O63" s="303"/>
      <c r="P63" s="303"/>
      <c r="Q63" s="303"/>
      <c r="R63" s="303"/>
      <c r="S63" s="303"/>
      <c r="T63" s="303"/>
      <c r="U63" s="303"/>
      <c r="V63" s="303"/>
    </row>
    <row r="64" spans="1:22" ht="11.4">
      <c r="A64" s="583"/>
      <c r="B64" s="583"/>
      <c r="H64" s="586"/>
      <c r="I64" s="583"/>
      <c r="J64" s="303"/>
      <c r="K64" s="303"/>
      <c r="L64" s="303"/>
      <c r="M64" s="303"/>
      <c r="N64" s="303"/>
      <c r="O64" s="303"/>
      <c r="P64" s="303"/>
      <c r="Q64" s="303"/>
      <c r="R64" s="303"/>
      <c r="S64" s="303"/>
      <c r="T64" s="303"/>
      <c r="U64" s="303"/>
      <c r="V64" s="303"/>
    </row>
    <row r="65" spans="1:22" ht="11.4">
      <c r="B65" s="583"/>
      <c r="H65" s="586"/>
      <c r="J65" s="303"/>
      <c r="K65" s="303"/>
      <c r="L65" s="303"/>
      <c r="M65" s="303"/>
      <c r="N65" s="303"/>
      <c r="O65" s="303"/>
      <c r="P65" s="303"/>
      <c r="Q65" s="303"/>
      <c r="R65" s="303"/>
      <c r="S65" s="303"/>
      <c r="T65" s="303"/>
      <c r="U65" s="303"/>
      <c r="V65" s="303"/>
    </row>
    <row r="66" spans="1:22" ht="11.4">
      <c r="A66" s="583"/>
      <c r="B66" s="583"/>
      <c r="H66" s="586"/>
      <c r="I66" s="583"/>
      <c r="J66" s="303"/>
      <c r="K66" s="303"/>
      <c r="L66" s="303"/>
      <c r="M66" s="303"/>
      <c r="N66" s="303"/>
      <c r="O66" s="303"/>
      <c r="P66" s="303"/>
      <c r="Q66" s="303"/>
      <c r="R66" s="303"/>
      <c r="S66" s="303"/>
      <c r="T66" s="303"/>
      <c r="U66" s="303"/>
      <c r="V66" s="303"/>
    </row>
    <row r="67" spans="1:22" ht="11.4">
      <c r="A67" s="583"/>
      <c r="B67" s="583"/>
      <c r="C67" s="584"/>
      <c r="D67" s="586"/>
      <c r="E67" s="586"/>
      <c r="F67" s="586"/>
      <c r="G67" s="586"/>
      <c r="H67" s="586"/>
      <c r="I67" s="583"/>
      <c r="J67" s="303"/>
      <c r="K67" s="303"/>
      <c r="L67" s="303"/>
      <c r="M67" s="303"/>
      <c r="N67" s="303"/>
      <c r="O67" s="303"/>
      <c r="P67" s="303"/>
      <c r="Q67" s="303"/>
      <c r="R67" s="303"/>
      <c r="S67" s="303"/>
      <c r="T67" s="303"/>
      <c r="U67" s="303"/>
      <c r="V67" s="303"/>
    </row>
    <row r="68" spans="1:22" ht="11.4">
      <c r="B68" s="583"/>
      <c r="D68" s="586"/>
      <c r="E68" s="586"/>
      <c r="F68" s="586"/>
      <c r="G68" s="586"/>
      <c r="H68" s="586"/>
      <c r="I68" s="583"/>
      <c r="J68" s="303"/>
      <c r="K68" s="303"/>
      <c r="L68" s="303"/>
      <c r="M68" s="303"/>
      <c r="N68" s="303"/>
      <c r="O68" s="303"/>
      <c r="P68" s="303"/>
      <c r="Q68" s="303"/>
      <c r="R68" s="303"/>
      <c r="S68" s="303"/>
      <c r="T68" s="303"/>
      <c r="U68" s="303"/>
      <c r="V68" s="303"/>
    </row>
    <row r="69" spans="1:22" ht="11.4">
      <c r="A69" s="583"/>
      <c r="B69" s="583"/>
      <c r="C69" s="583"/>
      <c r="D69" s="583"/>
      <c r="E69" s="583"/>
      <c r="F69" s="583"/>
      <c r="G69" s="583"/>
      <c r="H69" s="583"/>
      <c r="I69" s="583"/>
      <c r="J69" s="303"/>
      <c r="K69" s="303"/>
      <c r="L69" s="303"/>
      <c r="M69" s="303"/>
      <c r="N69" s="303"/>
      <c r="O69" s="303"/>
      <c r="P69" s="303"/>
      <c r="Q69" s="303"/>
      <c r="R69" s="303"/>
      <c r="S69" s="303"/>
      <c r="T69" s="303"/>
      <c r="U69" s="303"/>
      <c r="V69" s="303"/>
    </row>
    <row r="70" spans="1:22" ht="11.4">
      <c r="A70" s="583"/>
      <c r="B70" s="583"/>
      <c r="C70" s="583"/>
      <c r="D70" s="583"/>
      <c r="E70" s="583"/>
      <c r="F70" s="583"/>
      <c r="G70" s="583"/>
      <c r="H70" s="583"/>
      <c r="I70" s="583"/>
      <c r="J70" s="303"/>
      <c r="K70" s="303"/>
      <c r="L70" s="303"/>
      <c r="M70" s="303"/>
      <c r="N70" s="303"/>
      <c r="O70" s="303"/>
      <c r="P70" s="303"/>
      <c r="Q70" s="303"/>
      <c r="R70" s="303"/>
      <c r="S70" s="303"/>
      <c r="T70" s="303"/>
      <c r="U70" s="303"/>
      <c r="V70" s="303"/>
    </row>
    <row r="71" spans="1:22" ht="11.4">
      <c r="A71" s="583"/>
      <c r="B71" s="583"/>
      <c r="C71" s="583"/>
      <c r="D71" s="583"/>
      <c r="E71" s="583"/>
      <c r="F71" s="583"/>
      <c r="G71" s="583"/>
      <c r="H71" s="583"/>
      <c r="I71" s="583"/>
      <c r="J71" s="303"/>
      <c r="K71" s="303"/>
      <c r="L71" s="303"/>
      <c r="M71" s="303"/>
      <c r="N71" s="303"/>
      <c r="O71" s="303"/>
      <c r="P71" s="303"/>
      <c r="Q71" s="303"/>
      <c r="R71" s="303"/>
      <c r="S71" s="303"/>
      <c r="T71" s="303"/>
      <c r="U71" s="303"/>
      <c r="V71" s="303"/>
    </row>
    <row r="72" spans="1:22" ht="11.4">
      <c r="A72" s="583"/>
      <c r="B72" s="583"/>
      <c r="C72" s="583"/>
      <c r="D72" s="583"/>
      <c r="E72" s="583"/>
      <c r="F72" s="583"/>
      <c r="G72" s="583"/>
      <c r="H72" s="583"/>
      <c r="I72" s="583"/>
      <c r="J72" s="303"/>
      <c r="K72" s="303"/>
      <c r="L72" s="303"/>
      <c r="M72" s="303"/>
      <c r="N72" s="303"/>
      <c r="O72" s="303"/>
      <c r="P72" s="303"/>
      <c r="Q72" s="303"/>
      <c r="R72" s="303"/>
      <c r="S72" s="303"/>
      <c r="T72" s="303"/>
      <c r="U72" s="303"/>
      <c r="V72" s="303"/>
    </row>
    <row r="73" spans="1:22" ht="11.4">
      <c r="A73" s="583"/>
      <c r="B73" s="583"/>
      <c r="C73" s="583"/>
      <c r="D73" s="583"/>
      <c r="E73" s="583"/>
      <c r="F73" s="583"/>
      <c r="G73" s="583"/>
      <c r="H73" s="583"/>
      <c r="I73" s="583"/>
      <c r="J73" s="303"/>
      <c r="K73" s="303"/>
      <c r="L73" s="303"/>
      <c r="M73" s="303"/>
      <c r="N73" s="303"/>
      <c r="O73" s="303"/>
      <c r="P73" s="303"/>
      <c r="Q73" s="303"/>
      <c r="R73" s="303"/>
      <c r="S73" s="303"/>
      <c r="T73" s="303"/>
      <c r="U73" s="303"/>
      <c r="V73" s="303"/>
    </row>
    <row r="74" spans="1:22" ht="11.4">
      <c r="A74" s="583"/>
      <c r="B74" s="583"/>
      <c r="C74" s="583"/>
      <c r="D74" s="583"/>
      <c r="E74" s="583"/>
      <c r="F74" s="583"/>
      <c r="G74" s="583"/>
      <c r="H74" s="583"/>
      <c r="I74" s="583"/>
      <c r="J74" s="303"/>
      <c r="K74" s="303"/>
      <c r="L74" s="303"/>
      <c r="M74" s="303"/>
      <c r="N74" s="303"/>
      <c r="O74" s="303"/>
      <c r="P74" s="303"/>
      <c r="Q74" s="303"/>
      <c r="R74" s="303"/>
      <c r="S74" s="303"/>
      <c r="T74" s="303"/>
      <c r="U74" s="303"/>
      <c r="V74" s="303"/>
    </row>
    <row r="75" spans="1:22" ht="11.4">
      <c r="A75" s="583"/>
      <c r="B75" s="583"/>
      <c r="C75" s="583"/>
      <c r="D75" s="583"/>
      <c r="E75" s="583"/>
      <c r="F75" s="583"/>
      <c r="G75" s="583"/>
      <c r="H75" s="583"/>
      <c r="I75" s="583"/>
      <c r="J75" s="303"/>
      <c r="K75" s="303"/>
      <c r="L75" s="303"/>
      <c r="M75" s="303"/>
      <c r="N75" s="303"/>
      <c r="O75" s="303"/>
      <c r="P75" s="303"/>
      <c r="Q75" s="303"/>
      <c r="R75" s="303"/>
      <c r="S75" s="303"/>
      <c r="T75" s="303"/>
      <c r="U75" s="303"/>
      <c r="V75" s="303"/>
    </row>
    <row r="76" spans="1:22" ht="11.4">
      <c r="A76" s="583"/>
      <c r="B76" s="583"/>
      <c r="C76" s="583"/>
      <c r="D76" s="583"/>
      <c r="E76" s="583"/>
      <c r="F76" s="583"/>
      <c r="G76" s="583"/>
      <c r="H76" s="583"/>
      <c r="I76" s="583"/>
      <c r="J76" s="303"/>
      <c r="K76" s="303"/>
      <c r="L76" s="303"/>
      <c r="M76" s="303"/>
      <c r="N76" s="303"/>
      <c r="O76" s="303"/>
      <c r="P76" s="303"/>
      <c r="Q76" s="303"/>
      <c r="R76" s="303"/>
      <c r="S76" s="303"/>
      <c r="T76" s="303"/>
      <c r="U76" s="303"/>
      <c r="V76" s="303"/>
    </row>
    <row r="77" spans="1:22" ht="11.4">
      <c r="J77" s="303"/>
      <c r="K77" s="303"/>
      <c r="L77" s="303"/>
      <c r="M77" s="303"/>
      <c r="N77" s="303"/>
      <c r="O77" s="303"/>
      <c r="P77" s="303"/>
      <c r="Q77" s="303"/>
      <c r="R77" s="303"/>
      <c r="S77" s="303"/>
      <c r="T77" s="303"/>
      <c r="U77" s="303"/>
      <c r="V77" s="303"/>
    </row>
    <row r="78" spans="1:22" ht="11.4">
      <c r="J78" s="303"/>
      <c r="K78" s="303"/>
      <c r="L78" s="303"/>
      <c r="M78" s="303"/>
      <c r="N78" s="303"/>
      <c r="O78" s="303"/>
      <c r="P78" s="303"/>
      <c r="Q78" s="303"/>
      <c r="R78" s="303"/>
      <c r="S78" s="303"/>
      <c r="T78" s="303"/>
      <c r="U78" s="303"/>
      <c r="V78" s="303"/>
    </row>
    <row r="79" spans="1:22" ht="11.4">
      <c r="J79" s="303"/>
      <c r="K79" s="303"/>
      <c r="L79" s="303"/>
      <c r="M79" s="303"/>
      <c r="N79" s="303"/>
      <c r="O79" s="303"/>
      <c r="P79" s="303"/>
      <c r="Q79" s="303"/>
      <c r="R79" s="303"/>
      <c r="S79" s="303"/>
      <c r="T79" s="303"/>
      <c r="U79" s="303"/>
      <c r="V79" s="303"/>
    </row>
    <row r="80" spans="1:22" ht="11.4">
      <c r="J80" s="303"/>
      <c r="K80" s="303"/>
      <c r="L80" s="303"/>
      <c r="M80" s="303"/>
      <c r="N80" s="303"/>
      <c r="O80" s="303"/>
      <c r="P80" s="303"/>
      <c r="Q80" s="303"/>
      <c r="R80" s="303"/>
      <c r="S80" s="303"/>
      <c r="T80" s="303"/>
      <c r="U80" s="303"/>
      <c r="V80" s="303"/>
    </row>
    <row r="81" spans="10:22" ht="11.4">
      <c r="J81" s="303"/>
      <c r="K81" s="303"/>
      <c r="L81" s="303"/>
      <c r="M81" s="303"/>
      <c r="N81" s="303"/>
      <c r="O81" s="303"/>
      <c r="P81" s="303"/>
      <c r="Q81" s="303"/>
      <c r="R81" s="303"/>
      <c r="S81" s="303"/>
      <c r="T81" s="303"/>
      <c r="U81" s="303"/>
      <c r="V81" s="303"/>
    </row>
    <row r="82" spans="10:22" ht="11.4">
      <c r="J82" s="303"/>
      <c r="K82" s="303"/>
      <c r="L82" s="303"/>
      <c r="M82" s="303"/>
      <c r="N82" s="303"/>
      <c r="O82" s="303"/>
      <c r="P82" s="303"/>
      <c r="Q82" s="303"/>
      <c r="R82" s="303"/>
      <c r="S82" s="303"/>
      <c r="T82" s="303"/>
      <c r="U82" s="303"/>
      <c r="V82" s="303"/>
    </row>
    <row r="83" spans="10:22" ht="11.4">
      <c r="J83" s="303"/>
      <c r="K83" s="303"/>
      <c r="L83" s="303"/>
      <c r="M83" s="303"/>
      <c r="N83" s="303"/>
      <c r="O83" s="303"/>
      <c r="P83" s="303"/>
      <c r="Q83" s="303"/>
      <c r="R83" s="303"/>
      <c r="S83" s="303"/>
      <c r="T83" s="303"/>
      <c r="U83" s="303"/>
      <c r="V83" s="303"/>
    </row>
    <row r="84" spans="10:22" ht="11.4">
      <c r="J84" s="303"/>
      <c r="K84" s="303"/>
      <c r="L84" s="303"/>
      <c r="M84" s="303"/>
      <c r="N84" s="303"/>
      <c r="O84" s="303"/>
      <c r="P84" s="303"/>
      <c r="Q84" s="303"/>
      <c r="R84" s="303"/>
      <c r="S84" s="303"/>
      <c r="T84" s="303"/>
      <c r="U84" s="303"/>
      <c r="V84" s="303"/>
    </row>
    <row r="85" spans="10:22" ht="11.4">
      <c r="J85" s="303"/>
      <c r="K85" s="303"/>
      <c r="L85" s="303"/>
      <c r="M85" s="303"/>
      <c r="N85" s="303"/>
      <c r="O85" s="303"/>
      <c r="P85" s="303"/>
      <c r="Q85" s="303"/>
      <c r="R85" s="303"/>
      <c r="S85" s="303"/>
      <c r="T85" s="303"/>
      <c r="U85" s="303"/>
      <c r="V85" s="303"/>
    </row>
    <row r="86" spans="10:22" ht="11.4">
      <c r="J86" s="303"/>
      <c r="K86" s="303"/>
      <c r="L86" s="303"/>
      <c r="M86" s="303"/>
      <c r="N86" s="303"/>
      <c r="O86" s="303"/>
      <c r="P86" s="303"/>
      <c r="Q86" s="303"/>
      <c r="R86" s="303"/>
      <c r="S86" s="303"/>
      <c r="T86" s="303"/>
      <c r="U86" s="303"/>
      <c r="V86" s="303"/>
    </row>
    <row r="87" spans="10:22" ht="11.4">
      <c r="J87" s="303"/>
      <c r="K87" s="303"/>
      <c r="L87" s="303"/>
      <c r="M87" s="303"/>
      <c r="N87" s="303"/>
      <c r="O87" s="303"/>
      <c r="P87" s="303"/>
      <c r="Q87" s="303"/>
      <c r="R87" s="303"/>
      <c r="S87" s="303"/>
      <c r="T87" s="303"/>
      <c r="U87" s="303"/>
      <c r="V87" s="303"/>
    </row>
    <row r="88" spans="10:22" ht="11.4">
      <c r="J88" s="303"/>
      <c r="K88" s="303"/>
      <c r="L88" s="303"/>
      <c r="M88" s="303"/>
      <c r="N88" s="303"/>
      <c r="O88" s="303"/>
      <c r="P88" s="303"/>
      <c r="Q88" s="303"/>
      <c r="R88" s="303"/>
      <c r="S88" s="303"/>
      <c r="T88" s="303"/>
      <c r="U88" s="303"/>
      <c r="V88" s="303"/>
    </row>
    <row r="89" spans="10:22" ht="11.4">
      <c r="J89" s="303"/>
      <c r="K89" s="303"/>
      <c r="L89" s="303"/>
      <c r="M89" s="303"/>
      <c r="N89" s="303"/>
      <c r="O89" s="303"/>
      <c r="P89" s="303"/>
      <c r="Q89" s="303"/>
      <c r="R89" s="303"/>
      <c r="S89" s="303"/>
      <c r="T89" s="303"/>
      <c r="U89" s="303"/>
      <c r="V89" s="303"/>
    </row>
    <row r="90" spans="10:22" ht="11.4">
      <c r="J90" s="303"/>
      <c r="K90" s="303"/>
      <c r="L90" s="303"/>
      <c r="M90" s="303"/>
      <c r="N90" s="303"/>
      <c r="O90" s="303"/>
      <c r="P90" s="303"/>
      <c r="Q90" s="303"/>
      <c r="R90" s="303"/>
      <c r="S90" s="303"/>
      <c r="T90" s="303"/>
      <c r="U90" s="303"/>
      <c r="V90" s="303"/>
    </row>
    <row r="91" spans="10:22" ht="11.4">
      <c r="J91" s="303"/>
      <c r="K91" s="303"/>
      <c r="L91" s="303"/>
      <c r="M91" s="303"/>
      <c r="N91" s="303"/>
      <c r="O91" s="303"/>
      <c r="P91" s="303"/>
      <c r="Q91" s="303"/>
      <c r="R91" s="303"/>
      <c r="S91" s="303"/>
      <c r="T91" s="303"/>
      <c r="U91" s="303"/>
      <c r="V91" s="303"/>
    </row>
    <row r="92" spans="10:22" ht="11.4">
      <c r="J92" s="303"/>
      <c r="K92" s="303"/>
      <c r="L92" s="303"/>
      <c r="M92" s="303"/>
      <c r="N92" s="303"/>
      <c r="O92" s="303"/>
      <c r="P92" s="303"/>
      <c r="Q92" s="303"/>
      <c r="R92" s="303"/>
      <c r="S92" s="303"/>
      <c r="T92" s="303"/>
      <c r="U92" s="303"/>
      <c r="V92" s="303"/>
    </row>
    <row r="93" spans="10:22" ht="11.4">
      <c r="J93" s="303"/>
      <c r="K93" s="303"/>
      <c r="L93" s="303"/>
      <c r="M93" s="303"/>
      <c r="N93" s="303"/>
      <c r="O93" s="303"/>
      <c r="P93" s="303"/>
      <c r="Q93" s="303"/>
      <c r="R93" s="303"/>
      <c r="S93" s="303"/>
      <c r="T93" s="303"/>
      <c r="U93" s="303"/>
      <c r="V93" s="303"/>
    </row>
    <row r="94" spans="10:22" ht="11.4">
      <c r="J94" s="303"/>
      <c r="K94" s="303"/>
      <c r="L94" s="303"/>
      <c r="M94" s="303"/>
      <c r="N94" s="303"/>
      <c r="O94" s="303"/>
      <c r="P94" s="303"/>
      <c r="Q94" s="303"/>
      <c r="R94" s="303"/>
      <c r="S94" s="303"/>
      <c r="T94" s="303"/>
      <c r="U94" s="303"/>
      <c r="V94" s="303"/>
    </row>
    <row r="95" spans="10:22" ht="11.4">
      <c r="J95" s="303"/>
      <c r="K95" s="303"/>
      <c r="L95" s="303"/>
      <c r="M95" s="303"/>
      <c r="N95" s="303"/>
      <c r="O95" s="303"/>
      <c r="P95" s="303"/>
      <c r="Q95" s="303"/>
      <c r="R95" s="303"/>
      <c r="S95" s="303"/>
      <c r="T95" s="303"/>
      <c r="U95" s="303"/>
      <c r="V95" s="303"/>
    </row>
    <row r="96" spans="10:22" ht="11.4">
      <c r="J96" s="303"/>
      <c r="K96" s="303"/>
      <c r="L96" s="303"/>
      <c r="M96" s="303"/>
      <c r="N96" s="303"/>
      <c r="O96" s="303"/>
      <c r="P96" s="303"/>
      <c r="Q96" s="303"/>
      <c r="R96" s="303"/>
      <c r="S96" s="303"/>
      <c r="T96" s="303"/>
      <c r="U96" s="303"/>
      <c r="V96" s="303"/>
    </row>
    <row r="97" spans="10:22" ht="11.4">
      <c r="J97" s="303"/>
      <c r="K97" s="303"/>
      <c r="L97" s="303"/>
      <c r="M97" s="303"/>
      <c r="N97" s="303"/>
      <c r="O97" s="303"/>
      <c r="P97" s="303"/>
      <c r="Q97" s="303"/>
      <c r="R97" s="303"/>
      <c r="S97" s="303"/>
      <c r="T97" s="303"/>
      <c r="U97" s="303"/>
      <c r="V97" s="303"/>
    </row>
    <row r="98" spans="10:22" ht="11.4">
      <c r="J98" s="303"/>
      <c r="K98" s="303"/>
      <c r="L98" s="303"/>
      <c r="M98" s="303"/>
      <c r="N98" s="303"/>
      <c r="O98" s="303"/>
      <c r="P98" s="303"/>
      <c r="Q98" s="303"/>
      <c r="R98" s="303"/>
      <c r="S98" s="303"/>
      <c r="T98" s="303"/>
      <c r="U98" s="303"/>
      <c r="V98" s="303"/>
    </row>
    <row r="99" spans="10:22" ht="11.4">
      <c r="J99" s="303"/>
      <c r="K99" s="303"/>
      <c r="L99" s="303"/>
      <c r="M99" s="303"/>
      <c r="N99" s="303"/>
      <c r="O99" s="303"/>
      <c r="P99" s="303"/>
      <c r="Q99" s="303"/>
      <c r="R99" s="303"/>
      <c r="S99" s="303"/>
      <c r="T99" s="303"/>
      <c r="U99" s="303"/>
      <c r="V99" s="303"/>
    </row>
    <row r="100" spans="10:22" ht="11.4">
      <c r="J100" s="303"/>
      <c r="K100" s="303"/>
      <c r="L100" s="303"/>
      <c r="M100" s="303"/>
      <c r="N100" s="303"/>
      <c r="O100" s="303"/>
      <c r="P100" s="303"/>
      <c r="Q100" s="303"/>
      <c r="R100" s="303"/>
      <c r="S100" s="303"/>
      <c r="T100" s="303"/>
      <c r="U100" s="303"/>
      <c r="V100" s="303"/>
    </row>
    <row r="101" spans="10:22" ht="11.4">
      <c r="J101" s="303"/>
      <c r="K101" s="303"/>
      <c r="L101" s="303"/>
      <c r="M101" s="303"/>
      <c r="N101" s="303"/>
      <c r="O101" s="303"/>
      <c r="P101" s="303"/>
      <c r="Q101" s="303"/>
      <c r="R101" s="303"/>
      <c r="S101" s="303"/>
      <c r="T101" s="303"/>
      <c r="U101" s="303"/>
      <c r="V101" s="303"/>
    </row>
    <row r="102" spans="10:22" ht="11.4">
      <c r="J102" s="303"/>
      <c r="K102" s="303"/>
      <c r="L102" s="303"/>
      <c r="M102" s="303"/>
      <c r="N102" s="303"/>
      <c r="O102" s="303"/>
      <c r="P102" s="303"/>
      <c r="Q102" s="303"/>
      <c r="R102" s="303"/>
      <c r="S102" s="303"/>
      <c r="T102" s="303"/>
      <c r="U102" s="303"/>
      <c r="V102" s="303"/>
    </row>
    <row r="103" spans="10:22" ht="11.4">
      <c r="J103" s="303"/>
      <c r="K103" s="303"/>
      <c r="L103" s="303"/>
      <c r="M103" s="303"/>
      <c r="N103" s="303"/>
      <c r="O103" s="303"/>
      <c r="P103" s="303"/>
      <c r="Q103" s="303"/>
      <c r="R103" s="303"/>
      <c r="S103" s="303"/>
      <c r="T103" s="303"/>
      <c r="U103" s="303"/>
      <c r="V103" s="303"/>
    </row>
    <row r="104" spans="10:22" ht="11.4">
      <c r="J104" s="303"/>
      <c r="K104" s="303"/>
      <c r="L104" s="303"/>
      <c r="M104" s="303"/>
      <c r="N104" s="303"/>
      <c r="O104" s="303"/>
      <c r="P104" s="303"/>
      <c r="Q104" s="303"/>
      <c r="R104" s="303"/>
      <c r="S104" s="303"/>
      <c r="T104" s="303"/>
      <c r="U104" s="303"/>
      <c r="V104" s="303"/>
    </row>
    <row r="105" spans="10:22" ht="11.4">
      <c r="J105" s="303"/>
      <c r="K105" s="303"/>
      <c r="L105" s="303"/>
      <c r="M105" s="303"/>
      <c r="N105" s="303"/>
      <c r="O105" s="303"/>
      <c r="P105" s="303"/>
      <c r="Q105" s="303"/>
      <c r="R105" s="303"/>
      <c r="S105" s="303"/>
      <c r="T105" s="303"/>
      <c r="U105" s="303"/>
      <c r="V105" s="303"/>
    </row>
    <row r="106" spans="10:22" ht="11.4">
      <c r="J106" s="303"/>
      <c r="K106" s="303"/>
      <c r="L106" s="303"/>
      <c r="M106" s="303"/>
      <c r="N106" s="303"/>
      <c r="O106" s="303"/>
      <c r="P106" s="303"/>
      <c r="Q106" s="303"/>
      <c r="R106" s="303"/>
      <c r="S106" s="303"/>
      <c r="T106" s="303"/>
      <c r="U106" s="303"/>
      <c r="V106" s="303"/>
    </row>
    <row r="107" spans="10:22" ht="11.4">
      <c r="J107" s="303"/>
      <c r="K107" s="303"/>
      <c r="L107" s="303"/>
      <c r="M107" s="303"/>
      <c r="N107" s="303"/>
      <c r="O107" s="303"/>
      <c r="P107" s="303"/>
      <c r="Q107" s="303"/>
      <c r="R107" s="303"/>
      <c r="S107" s="303"/>
      <c r="T107" s="303"/>
      <c r="U107" s="303"/>
      <c r="V107" s="303"/>
    </row>
    <row r="108" spans="10:22" ht="11.4">
      <c r="J108" s="303"/>
      <c r="K108" s="303"/>
      <c r="L108" s="303"/>
      <c r="M108" s="303"/>
      <c r="N108" s="303"/>
      <c r="O108" s="303"/>
      <c r="P108" s="303"/>
      <c r="Q108" s="303"/>
      <c r="R108" s="303"/>
      <c r="S108" s="303"/>
      <c r="T108" s="303"/>
      <c r="U108" s="303"/>
      <c r="V108" s="303"/>
    </row>
    <row r="109" spans="10:22" ht="11.4">
      <c r="J109" s="303"/>
      <c r="K109" s="303"/>
      <c r="L109" s="303"/>
      <c r="M109" s="303"/>
      <c r="N109" s="303"/>
      <c r="O109" s="303"/>
      <c r="P109" s="303"/>
      <c r="Q109" s="303"/>
      <c r="R109" s="303"/>
      <c r="S109" s="303"/>
      <c r="T109" s="303"/>
      <c r="U109" s="303"/>
      <c r="V109" s="303"/>
    </row>
    <row r="110" spans="10:22" ht="11.4">
      <c r="J110" s="303"/>
      <c r="K110" s="303"/>
      <c r="L110" s="303"/>
      <c r="M110" s="303"/>
      <c r="N110" s="303"/>
      <c r="O110" s="303"/>
      <c r="P110" s="303"/>
      <c r="Q110" s="303"/>
      <c r="R110" s="303"/>
      <c r="S110" s="303"/>
      <c r="T110" s="303"/>
      <c r="U110" s="303"/>
      <c r="V110" s="303"/>
    </row>
    <row r="111" spans="10:22" ht="11.4">
      <c r="J111" s="303"/>
      <c r="K111" s="303"/>
      <c r="L111" s="303"/>
      <c r="M111" s="303"/>
      <c r="N111" s="303"/>
      <c r="O111" s="303"/>
      <c r="P111" s="303"/>
      <c r="Q111" s="303"/>
      <c r="R111" s="303"/>
      <c r="S111" s="303"/>
      <c r="T111" s="303"/>
      <c r="U111" s="303"/>
      <c r="V111" s="303"/>
    </row>
    <row r="112" spans="10:22" ht="11.4">
      <c r="J112" s="303"/>
      <c r="K112" s="303"/>
      <c r="L112" s="303"/>
      <c r="M112" s="303"/>
      <c r="N112" s="303"/>
      <c r="O112" s="303"/>
      <c r="P112" s="303"/>
      <c r="Q112" s="303"/>
      <c r="R112" s="303"/>
      <c r="S112" s="303"/>
      <c r="T112" s="303"/>
      <c r="U112" s="303"/>
      <c r="V112" s="303"/>
    </row>
    <row r="113" spans="10:22" ht="11.4">
      <c r="J113" s="303"/>
      <c r="K113" s="303"/>
      <c r="L113" s="303"/>
      <c r="M113" s="303"/>
      <c r="N113" s="303"/>
      <c r="O113" s="303"/>
      <c r="P113" s="303"/>
      <c r="Q113" s="303"/>
      <c r="R113" s="303"/>
      <c r="S113" s="303"/>
      <c r="T113" s="303"/>
      <c r="U113" s="303"/>
      <c r="V113" s="303"/>
    </row>
    <row r="114" spans="10:22" ht="11.4">
      <c r="J114" s="303"/>
      <c r="K114" s="303"/>
      <c r="L114" s="303"/>
      <c r="M114" s="303"/>
      <c r="N114" s="303"/>
      <c r="O114" s="303"/>
      <c r="P114" s="303"/>
      <c r="Q114" s="303"/>
      <c r="R114" s="303"/>
      <c r="S114" s="303"/>
      <c r="T114" s="303"/>
      <c r="U114" s="303"/>
      <c r="V114" s="303"/>
    </row>
    <row r="115" spans="10:22" ht="11.4">
      <c r="J115" s="303"/>
      <c r="K115" s="303"/>
      <c r="L115" s="303"/>
      <c r="M115" s="303"/>
      <c r="N115" s="303"/>
      <c r="O115" s="303"/>
      <c r="P115" s="303"/>
      <c r="Q115" s="303"/>
      <c r="R115" s="303"/>
      <c r="S115" s="303"/>
      <c r="T115" s="303"/>
      <c r="U115" s="303"/>
      <c r="V115" s="303"/>
    </row>
    <row r="116" spans="10:22" ht="11.4">
      <c r="J116" s="303"/>
      <c r="K116" s="303"/>
      <c r="L116" s="303"/>
      <c r="M116" s="303"/>
      <c r="N116" s="303"/>
      <c r="O116" s="303"/>
      <c r="P116" s="303"/>
      <c r="Q116" s="303"/>
      <c r="R116" s="303"/>
      <c r="S116" s="303"/>
      <c r="T116" s="303"/>
      <c r="U116" s="303"/>
      <c r="V116" s="303"/>
    </row>
    <row r="117" spans="10:22" ht="11.4">
      <c r="J117" s="303"/>
      <c r="K117" s="303"/>
      <c r="L117" s="303"/>
      <c r="M117" s="303"/>
      <c r="N117" s="303"/>
      <c r="O117" s="303"/>
      <c r="P117" s="303"/>
      <c r="Q117" s="303"/>
      <c r="R117" s="303"/>
      <c r="S117" s="303"/>
      <c r="T117" s="303"/>
      <c r="U117" s="303"/>
      <c r="V117" s="303"/>
    </row>
    <row r="118" spans="10:22" ht="11.4">
      <c r="J118" s="303"/>
      <c r="K118" s="303"/>
      <c r="L118" s="303"/>
      <c r="M118" s="303"/>
      <c r="N118" s="303"/>
      <c r="O118" s="303"/>
      <c r="P118" s="303"/>
      <c r="Q118" s="303"/>
      <c r="R118" s="303"/>
      <c r="S118" s="303"/>
      <c r="T118" s="303"/>
      <c r="U118" s="303"/>
      <c r="V118" s="303"/>
    </row>
    <row r="119" spans="10:22" ht="11.4">
      <c r="J119" s="303"/>
      <c r="K119" s="303"/>
      <c r="L119" s="303"/>
      <c r="M119" s="303"/>
      <c r="N119" s="303"/>
      <c r="O119" s="303"/>
      <c r="P119" s="303"/>
      <c r="Q119" s="303"/>
      <c r="R119" s="303"/>
      <c r="S119" s="303"/>
      <c r="T119" s="303"/>
      <c r="U119" s="303"/>
      <c r="V119" s="303"/>
    </row>
    <row r="120" spans="10:22" ht="11.4">
      <c r="J120" s="303"/>
      <c r="K120" s="303"/>
      <c r="L120" s="303"/>
      <c r="M120" s="303"/>
      <c r="N120" s="303"/>
      <c r="O120" s="303"/>
      <c r="P120" s="303"/>
      <c r="Q120" s="303"/>
      <c r="R120" s="303"/>
      <c r="S120" s="303"/>
      <c r="T120" s="303"/>
      <c r="U120" s="303"/>
      <c r="V120" s="303"/>
    </row>
    <row r="121" spans="10:22" ht="11.4">
      <c r="J121" s="303"/>
      <c r="K121" s="303"/>
      <c r="L121" s="303"/>
      <c r="M121" s="303"/>
      <c r="N121" s="303"/>
      <c r="O121" s="303"/>
      <c r="P121" s="303"/>
      <c r="Q121" s="303"/>
      <c r="R121" s="303"/>
      <c r="S121" s="303"/>
      <c r="T121" s="303"/>
      <c r="U121" s="303"/>
      <c r="V121" s="303"/>
    </row>
    <row r="122" spans="10:22" ht="11.4">
      <c r="J122" s="303"/>
      <c r="K122" s="303"/>
      <c r="L122" s="303"/>
      <c r="M122" s="303"/>
      <c r="N122" s="303"/>
      <c r="O122" s="303"/>
      <c r="P122" s="303"/>
      <c r="Q122" s="303"/>
      <c r="R122" s="303"/>
      <c r="S122" s="303"/>
      <c r="T122" s="303"/>
      <c r="U122" s="303"/>
      <c r="V122" s="303"/>
    </row>
    <row r="123" spans="10:22" ht="11.4">
      <c r="J123" s="303"/>
      <c r="K123" s="303"/>
      <c r="L123" s="303"/>
      <c r="M123" s="303"/>
      <c r="N123" s="303"/>
      <c r="O123" s="303"/>
      <c r="P123" s="303"/>
      <c r="Q123" s="303"/>
      <c r="R123" s="303"/>
      <c r="S123" s="303"/>
      <c r="T123" s="303"/>
      <c r="U123" s="303"/>
      <c r="V123" s="303"/>
    </row>
    <row r="124" spans="10:22" ht="11.4">
      <c r="J124" s="303"/>
      <c r="K124" s="303"/>
      <c r="L124" s="303"/>
      <c r="M124" s="303"/>
      <c r="N124" s="303"/>
      <c r="O124" s="303"/>
      <c r="P124" s="303"/>
      <c r="Q124" s="303"/>
      <c r="R124" s="303"/>
      <c r="S124" s="303"/>
      <c r="T124" s="303"/>
      <c r="U124" s="303"/>
      <c r="V124" s="303"/>
    </row>
    <row r="125" spans="10:22" ht="11.4">
      <c r="J125" s="303"/>
      <c r="K125" s="303"/>
      <c r="L125" s="303"/>
      <c r="M125" s="303"/>
      <c r="N125" s="303"/>
      <c r="O125" s="303"/>
      <c r="P125" s="303"/>
      <c r="Q125" s="303"/>
      <c r="R125" s="303"/>
      <c r="S125" s="303"/>
      <c r="T125" s="303"/>
      <c r="U125" s="303"/>
      <c r="V125" s="303"/>
    </row>
    <row r="126" spans="10:22" ht="11.4">
      <c r="J126" s="303"/>
      <c r="K126" s="303"/>
      <c r="L126" s="303"/>
      <c r="M126" s="303"/>
      <c r="N126" s="303"/>
      <c r="O126" s="303"/>
      <c r="P126" s="303"/>
      <c r="Q126" s="303"/>
      <c r="R126" s="303"/>
      <c r="S126" s="303"/>
      <c r="T126" s="303"/>
      <c r="U126" s="303"/>
      <c r="V126" s="303"/>
    </row>
    <row r="127" spans="10:22" ht="11.4">
      <c r="J127" s="303"/>
      <c r="K127" s="303"/>
      <c r="L127" s="303"/>
      <c r="M127" s="303"/>
      <c r="N127" s="303"/>
      <c r="O127" s="303"/>
      <c r="P127" s="303"/>
      <c r="Q127" s="303"/>
      <c r="R127" s="303"/>
      <c r="S127" s="303"/>
      <c r="T127" s="303"/>
      <c r="U127" s="303"/>
      <c r="V127" s="303"/>
    </row>
    <row r="128" spans="10:22" ht="11.4">
      <c r="J128" s="303"/>
      <c r="K128" s="303"/>
      <c r="L128" s="303"/>
      <c r="M128" s="303"/>
      <c r="N128" s="303"/>
      <c r="O128" s="303"/>
      <c r="P128" s="303"/>
      <c r="Q128" s="303"/>
      <c r="R128" s="303"/>
      <c r="S128" s="303"/>
      <c r="T128" s="303"/>
      <c r="U128" s="303"/>
      <c r="V128" s="303"/>
    </row>
    <row r="129" spans="10:22" ht="11.4">
      <c r="J129" s="303"/>
      <c r="K129" s="303"/>
      <c r="L129" s="303"/>
      <c r="M129" s="303"/>
      <c r="N129" s="303"/>
      <c r="O129" s="303"/>
      <c r="P129" s="303"/>
      <c r="Q129" s="303"/>
      <c r="R129" s="303"/>
      <c r="S129" s="303"/>
      <c r="T129" s="303"/>
      <c r="U129" s="303"/>
      <c r="V129" s="303"/>
    </row>
    <row r="130" spans="10:22" ht="11.4">
      <c r="J130" s="303"/>
      <c r="K130" s="303"/>
      <c r="L130" s="303"/>
      <c r="M130" s="303"/>
      <c r="N130" s="303"/>
      <c r="O130" s="303"/>
      <c r="P130" s="303"/>
      <c r="Q130" s="303"/>
      <c r="R130" s="303"/>
      <c r="S130" s="303"/>
      <c r="T130" s="303"/>
      <c r="U130" s="303"/>
      <c r="V130" s="303"/>
    </row>
    <row r="131" spans="10:22" ht="11.4">
      <c r="J131" s="303"/>
      <c r="K131" s="303"/>
      <c r="L131" s="303"/>
      <c r="M131" s="303"/>
      <c r="N131" s="303"/>
      <c r="O131" s="303"/>
      <c r="P131" s="303"/>
      <c r="Q131" s="303"/>
      <c r="R131" s="303"/>
      <c r="S131" s="303"/>
      <c r="T131" s="303"/>
      <c r="U131" s="303"/>
      <c r="V131" s="303"/>
    </row>
    <row r="132" spans="10:22" ht="11.4">
      <c r="J132" s="303"/>
      <c r="K132" s="303"/>
      <c r="L132" s="303"/>
      <c r="M132" s="303"/>
      <c r="N132" s="303"/>
      <c r="O132" s="303"/>
      <c r="P132" s="303"/>
      <c r="Q132" s="303"/>
      <c r="R132" s="303"/>
      <c r="S132" s="303"/>
      <c r="T132" s="303"/>
      <c r="U132" s="303"/>
      <c r="V132" s="303"/>
    </row>
    <row r="133" spans="10:22" ht="11.4">
      <c r="J133" s="303"/>
      <c r="K133" s="303"/>
      <c r="L133" s="303"/>
      <c r="M133" s="303"/>
      <c r="N133" s="303"/>
      <c r="O133" s="303"/>
      <c r="P133" s="303"/>
      <c r="Q133" s="303"/>
      <c r="R133" s="303"/>
      <c r="S133" s="303"/>
      <c r="T133" s="303"/>
      <c r="U133" s="303"/>
      <c r="V133" s="303"/>
    </row>
    <row r="134" spans="10:22" ht="11.4">
      <c r="J134" s="303"/>
      <c r="K134" s="303"/>
      <c r="L134" s="303"/>
      <c r="M134" s="303"/>
      <c r="N134" s="303"/>
      <c r="O134" s="303"/>
      <c r="P134" s="303"/>
      <c r="Q134" s="303"/>
      <c r="R134" s="303"/>
      <c r="S134" s="303"/>
      <c r="T134" s="303"/>
      <c r="U134" s="303"/>
      <c r="V134" s="303"/>
    </row>
    <row r="135" spans="10:22" ht="11.4">
      <c r="J135" s="303"/>
      <c r="K135" s="303"/>
      <c r="L135" s="303"/>
      <c r="M135" s="303"/>
      <c r="N135" s="303"/>
      <c r="O135" s="303"/>
      <c r="P135" s="303"/>
      <c r="Q135" s="303"/>
      <c r="R135" s="303"/>
      <c r="S135" s="303"/>
      <c r="T135" s="303"/>
      <c r="U135" s="303"/>
      <c r="V135" s="303"/>
    </row>
    <row r="136" spans="10:22" ht="11.4">
      <c r="J136" s="303"/>
      <c r="K136" s="303"/>
      <c r="L136" s="303"/>
      <c r="M136" s="303"/>
      <c r="N136" s="303"/>
      <c r="O136" s="303"/>
      <c r="P136" s="303"/>
      <c r="Q136" s="303"/>
      <c r="R136" s="303"/>
      <c r="S136" s="303"/>
      <c r="T136" s="303"/>
      <c r="U136" s="303"/>
      <c r="V136" s="303"/>
    </row>
    <row r="137" spans="10:22" ht="11.4">
      <c r="J137" s="303"/>
      <c r="K137" s="303"/>
      <c r="L137" s="303"/>
      <c r="M137" s="303"/>
      <c r="N137" s="303"/>
      <c r="O137" s="303"/>
      <c r="P137" s="303"/>
      <c r="Q137" s="303"/>
      <c r="R137" s="303"/>
      <c r="S137" s="303"/>
      <c r="T137" s="303"/>
      <c r="U137" s="303"/>
      <c r="V137" s="303"/>
    </row>
    <row r="138" spans="10:22" ht="11.4">
      <c r="J138" s="303"/>
      <c r="K138" s="303"/>
      <c r="L138" s="303"/>
      <c r="M138" s="303"/>
      <c r="N138" s="303"/>
      <c r="O138" s="303"/>
      <c r="P138" s="303"/>
      <c r="Q138" s="303"/>
      <c r="R138" s="303"/>
      <c r="S138" s="303"/>
      <c r="T138" s="303"/>
      <c r="U138" s="303"/>
      <c r="V138" s="303"/>
    </row>
    <row r="139" spans="10:22" ht="11.4">
      <c r="J139" s="303"/>
      <c r="K139" s="303"/>
      <c r="L139" s="303"/>
      <c r="M139" s="303"/>
      <c r="N139" s="303"/>
      <c r="O139" s="303"/>
      <c r="P139" s="303"/>
      <c r="Q139" s="303"/>
      <c r="R139" s="303"/>
      <c r="S139" s="303"/>
      <c r="T139" s="303"/>
      <c r="U139" s="303"/>
      <c r="V139" s="303"/>
    </row>
    <row r="140" spans="10:22" ht="11.4">
      <c r="J140" s="303"/>
      <c r="K140" s="303"/>
      <c r="L140" s="303"/>
      <c r="M140" s="303"/>
      <c r="N140" s="303"/>
      <c r="O140" s="303"/>
      <c r="P140" s="303"/>
      <c r="Q140" s="303"/>
      <c r="R140" s="303"/>
      <c r="S140" s="303"/>
      <c r="T140" s="303"/>
      <c r="U140" s="303"/>
      <c r="V140" s="303"/>
    </row>
    <row r="141" spans="10:22" ht="11.4">
      <c r="J141" s="303"/>
      <c r="K141" s="303"/>
      <c r="L141" s="303"/>
      <c r="M141" s="303"/>
      <c r="N141" s="303"/>
      <c r="O141" s="303"/>
      <c r="P141" s="303"/>
      <c r="Q141" s="303"/>
      <c r="R141" s="303"/>
      <c r="S141" s="303"/>
      <c r="T141" s="303"/>
      <c r="U141" s="303"/>
      <c r="V141" s="303"/>
    </row>
    <row r="142" spans="10:22" ht="11.4">
      <c r="J142" s="303"/>
      <c r="K142" s="303"/>
      <c r="L142" s="303"/>
      <c r="M142" s="303"/>
      <c r="N142" s="303"/>
      <c r="O142" s="303"/>
      <c r="P142" s="303"/>
      <c r="Q142" s="303"/>
      <c r="R142" s="303"/>
      <c r="S142" s="303"/>
      <c r="T142" s="303"/>
      <c r="U142" s="303"/>
      <c r="V142" s="303"/>
    </row>
    <row r="143" spans="10:22" ht="11.4">
      <c r="J143" s="303"/>
      <c r="K143" s="303"/>
      <c r="L143" s="303"/>
      <c r="M143" s="303"/>
      <c r="N143" s="303"/>
      <c r="O143" s="303"/>
      <c r="P143" s="303"/>
      <c r="Q143" s="303"/>
      <c r="R143" s="303"/>
      <c r="S143" s="303"/>
      <c r="T143" s="303"/>
      <c r="U143" s="303"/>
      <c r="V143" s="303"/>
    </row>
    <row r="144" spans="10:22" ht="11.4">
      <c r="J144" s="303"/>
      <c r="K144" s="303"/>
      <c r="L144" s="303"/>
      <c r="M144" s="303"/>
      <c r="N144" s="303"/>
      <c r="O144" s="303"/>
      <c r="P144" s="303"/>
      <c r="Q144" s="303"/>
      <c r="R144" s="303"/>
      <c r="S144" s="303"/>
      <c r="T144" s="303"/>
      <c r="U144" s="303"/>
      <c r="V144" s="303"/>
    </row>
    <row r="145" spans="10:22" ht="11.4">
      <c r="J145" s="303"/>
      <c r="K145" s="303"/>
      <c r="L145" s="303"/>
      <c r="M145" s="303"/>
      <c r="N145" s="303"/>
      <c r="O145" s="303"/>
      <c r="P145" s="303"/>
      <c r="Q145" s="303"/>
      <c r="R145" s="303"/>
      <c r="S145" s="303"/>
      <c r="T145" s="303"/>
      <c r="U145" s="303"/>
      <c r="V145" s="303"/>
    </row>
    <row r="146" spans="10:22" ht="11.4">
      <c r="J146" s="303"/>
      <c r="K146" s="303"/>
      <c r="L146" s="303"/>
      <c r="M146" s="303"/>
      <c r="N146" s="303"/>
      <c r="O146" s="303"/>
      <c r="P146" s="303"/>
      <c r="Q146" s="303"/>
      <c r="R146" s="303"/>
      <c r="S146" s="303"/>
      <c r="T146" s="303"/>
      <c r="U146" s="303"/>
      <c r="V146" s="303"/>
    </row>
    <row r="147" spans="10:22" ht="11.4">
      <c r="J147" s="303"/>
      <c r="K147" s="303"/>
      <c r="L147" s="303"/>
      <c r="M147" s="303"/>
      <c r="N147" s="303"/>
      <c r="O147" s="303"/>
      <c r="P147" s="303"/>
      <c r="Q147" s="303"/>
      <c r="R147" s="303"/>
      <c r="S147" s="303"/>
      <c r="T147" s="303"/>
      <c r="U147" s="303"/>
      <c r="V147" s="303"/>
    </row>
    <row r="148" spans="10:22" ht="11.4">
      <c r="J148" s="303"/>
      <c r="K148" s="303"/>
      <c r="L148" s="303"/>
      <c r="M148" s="303"/>
      <c r="N148" s="303"/>
      <c r="O148" s="303"/>
      <c r="P148" s="303"/>
      <c r="Q148" s="303"/>
      <c r="R148" s="303"/>
      <c r="S148" s="303"/>
      <c r="T148" s="303"/>
      <c r="U148" s="303"/>
      <c r="V148" s="303"/>
    </row>
    <row r="149" spans="10:22" ht="11.4">
      <c r="J149" s="303"/>
      <c r="K149" s="303"/>
      <c r="L149" s="303"/>
      <c r="M149" s="303"/>
      <c r="N149" s="303"/>
      <c r="O149" s="303"/>
      <c r="P149" s="303"/>
      <c r="Q149" s="303"/>
      <c r="R149" s="303"/>
      <c r="S149" s="303"/>
      <c r="T149" s="303"/>
      <c r="U149" s="303"/>
      <c r="V149" s="303"/>
    </row>
    <row r="150" spans="10:22" ht="11.4">
      <c r="J150" s="303"/>
      <c r="K150" s="303"/>
      <c r="L150" s="303"/>
      <c r="M150" s="303"/>
      <c r="N150" s="303"/>
      <c r="O150" s="303"/>
      <c r="P150" s="303"/>
      <c r="Q150" s="303"/>
      <c r="R150" s="303"/>
      <c r="S150" s="303"/>
      <c r="T150" s="303"/>
      <c r="U150" s="303"/>
      <c r="V150" s="303"/>
    </row>
    <row r="151" spans="10:22" ht="11.4">
      <c r="J151" s="303"/>
      <c r="K151" s="303"/>
      <c r="L151" s="303"/>
      <c r="M151" s="303"/>
      <c r="N151" s="303"/>
      <c r="O151" s="303"/>
      <c r="P151" s="303"/>
      <c r="Q151" s="303"/>
      <c r="R151" s="303"/>
      <c r="S151" s="303"/>
      <c r="T151" s="303"/>
      <c r="U151" s="303"/>
      <c r="V151" s="303"/>
    </row>
    <row r="152" spans="10:22" ht="11.4">
      <c r="J152" s="303"/>
      <c r="K152" s="303"/>
      <c r="L152" s="303"/>
      <c r="M152" s="303"/>
      <c r="N152" s="303"/>
      <c r="O152" s="303"/>
      <c r="P152" s="303"/>
      <c r="Q152" s="303"/>
      <c r="R152" s="303"/>
      <c r="S152" s="303"/>
      <c r="T152" s="303"/>
      <c r="U152" s="303"/>
      <c r="V152" s="303"/>
    </row>
    <row r="153" spans="10:22" ht="11.4">
      <c r="J153" s="303"/>
      <c r="K153" s="303"/>
      <c r="L153" s="303"/>
      <c r="M153" s="303"/>
      <c r="N153" s="303"/>
      <c r="O153" s="303"/>
      <c r="P153" s="303"/>
      <c r="Q153" s="303"/>
      <c r="R153" s="303"/>
      <c r="S153" s="303"/>
      <c r="T153" s="303"/>
      <c r="U153" s="303"/>
      <c r="V153" s="303"/>
    </row>
    <row r="154" spans="10:22" ht="11.4">
      <c r="J154" s="303"/>
      <c r="K154" s="303"/>
      <c r="L154" s="303"/>
      <c r="M154" s="303"/>
      <c r="N154" s="303"/>
      <c r="O154" s="303"/>
      <c r="P154" s="303"/>
      <c r="Q154" s="303"/>
      <c r="R154" s="303"/>
      <c r="S154" s="303"/>
      <c r="T154" s="303"/>
      <c r="U154" s="303"/>
      <c r="V154" s="303"/>
    </row>
    <row r="155" spans="10:22" ht="11.4">
      <c r="J155" s="303"/>
      <c r="K155" s="303"/>
      <c r="L155" s="303"/>
      <c r="M155" s="303"/>
      <c r="N155" s="303"/>
      <c r="O155" s="303"/>
      <c r="P155" s="303"/>
      <c r="Q155" s="303"/>
      <c r="R155" s="303"/>
      <c r="S155" s="303"/>
      <c r="T155" s="303"/>
      <c r="U155" s="303"/>
      <c r="V155" s="303"/>
    </row>
    <row r="156" spans="10:22" ht="11.4">
      <c r="J156" s="303"/>
      <c r="K156" s="303"/>
      <c r="L156" s="303"/>
      <c r="M156" s="303"/>
      <c r="N156" s="303"/>
      <c r="O156" s="303"/>
      <c r="P156" s="303"/>
      <c r="Q156" s="303"/>
      <c r="R156" s="303"/>
      <c r="S156" s="303"/>
      <c r="T156" s="303"/>
      <c r="U156" s="303"/>
      <c r="V156" s="303"/>
    </row>
    <row r="157" spans="10:22" ht="11.4">
      <c r="J157" s="303"/>
      <c r="K157" s="303"/>
      <c r="L157" s="303"/>
      <c r="M157" s="303"/>
      <c r="N157" s="303"/>
      <c r="O157" s="303"/>
      <c r="P157" s="303"/>
      <c r="Q157" s="303"/>
      <c r="R157" s="303"/>
      <c r="S157" s="303"/>
      <c r="T157" s="303"/>
      <c r="U157" s="303"/>
      <c r="V157" s="303"/>
    </row>
    <row r="158" spans="10:22" ht="11.4">
      <c r="J158" s="303"/>
      <c r="K158" s="303"/>
      <c r="L158" s="303"/>
      <c r="M158" s="303"/>
      <c r="N158" s="303"/>
      <c r="O158" s="303"/>
      <c r="P158" s="303"/>
      <c r="Q158" s="303"/>
      <c r="R158" s="303"/>
      <c r="S158" s="303"/>
      <c r="T158" s="303"/>
      <c r="U158" s="303"/>
      <c r="V158" s="303"/>
    </row>
    <row r="159" spans="10:22" ht="11.4">
      <c r="J159" s="303"/>
      <c r="K159" s="303"/>
      <c r="L159" s="303"/>
      <c r="M159" s="303"/>
      <c r="N159" s="303"/>
      <c r="O159" s="303"/>
      <c r="P159" s="303"/>
      <c r="Q159" s="303"/>
      <c r="R159" s="303"/>
      <c r="S159" s="303"/>
      <c r="T159" s="303"/>
      <c r="U159" s="303"/>
      <c r="V159" s="303"/>
    </row>
    <row r="160" spans="10:22" ht="11.4">
      <c r="J160" s="303"/>
      <c r="K160" s="303"/>
      <c r="L160" s="303"/>
      <c r="M160" s="303"/>
      <c r="N160" s="303"/>
      <c r="O160" s="303"/>
      <c r="P160" s="303"/>
      <c r="Q160" s="303"/>
      <c r="R160" s="303"/>
      <c r="S160" s="303"/>
      <c r="T160" s="303"/>
      <c r="U160" s="303"/>
      <c r="V160" s="303"/>
    </row>
    <row r="161" spans="10:22" ht="11.4">
      <c r="J161" s="303"/>
      <c r="K161" s="303"/>
      <c r="L161" s="303"/>
      <c r="M161" s="303"/>
      <c r="N161" s="303"/>
      <c r="O161" s="303"/>
      <c r="P161" s="303"/>
      <c r="Q161" s="303"/>
      <c r="R161" s="303"/>
      <c r="S161" s="303"/>
      <c r="T161" s="303"/>
      <c r="U161" s="303"/>
      <c r="V161" s="303"/>
    </row>
    <row r="162" spans="10:22" ht="11.4">
      <c r="J162" s="303"/>
      <c r="K162" s="303"/>
      <c r="L162" s="303"/>
      <c r="M162" s="303"/>
      <c r="N162" s="303"/>
      <c r="O162" s="303"/>
      <c r="P162" s="303"/>
      <c r="Q162" s="303"/>
      <c r="R162" s="303"/>
      <c r="S162" s="303"/>
      <c r="T162" s="303"/>
      <c r="U162" s="303"/>
      <c r="V162" s="303"/>
    </row>
    <row r="163" spans="10:22" ht="11.4">
      <c r="J163" s="303"/>
      <c r="K163" s="303"/>
      <c r="L163" s="303"/>
      <c r="M163" s="303"/>
      <c r="N163" s="303"/>
      <c r="O163" s="303"/>
      <c r="P163" s="303"/>
      <c r="Q163" s="303"/>
      <c r="R163" s="303"/>
      <c r="S163" s="303"/>
      <c r="T163" s="303"/>
      <c r="U163" s="303"/>
      <c r="V163" s="303"/>
    </row>
    <row r="164" spans="10:22" ht="11.4">
      <c r="J164" s="303"/>
      <c r="K164" s="303"/>
      <c r="L164" s="303"/>
      <c r="M164" s="303"/>
      <c r="N164" s="303"/>
      <c r="O164" s="303"/>
      <c r="P164" s="303"/>
      <c r="Q164" s="303"/>
      <c r="R164" s="303"/>
      <c r="S164" s="303"/>
      <c r="T164" s="303"/>
      <c r="U164" s="303"/>
      <c r="V164" s="303"/>
    </row>
    <row r="165" spans="10:22" ht="11.4">
      <c r="J165" s="303"/>
      <c r="K165" s="303"/>
      <c r="L165" s="303"/>
      <c r="M165" s="303"/>
      <c r="N165" s="303"/>
      <c r="O165" s="303"/>
      <c r="P165" s="303"/>
      <c r="Q165" s="303"/>
      <c r="R165" s="303"/>
      <c r="S165" s="303"/>
      <c r="T165" s="303"/>
      <c r="U165" s="303"/>
      <c r="V165" s="303"/>
    </row>
    <row r="166" spans="10:22" ht="11.4">
      <c r="J166" s="303"/>
      <c r="K166" s="303"/>
      <c r="L166" s="303"/>
      <c r="M166" s="303"/>
      <c r="N166" s="303"/>
      <c r="O166" s="303"/>
      <c r="P166" s="303"/>
      <c r="Q166" s="303"/>
      <c r="R166" s="303"/>
      <c r="S166" s="303"/>
      <c r="T166" s="303"/>
      <c r="U166" s="303"/>
      <c r="V166" s="303"/>
    </row>
    <row r="167" spans="10:22" ht="11.4">
      <c r="J167" s="303"/>
      <c r="K167" s="303"/>
      <c r="L167" s="303"/>
      <c r="M167" s="303"/>
      <c r="N167" s="303"/>
      <c r="O167" s="303"/>
      <c r="P167" s="303"/>
      <c r="Q167" s="303"/>
      <c r="R167" s="303"/>
      <c r="S167" s="303"/>
      <c r="T167" s="303"/>
      <c r="U167" s="303"/>
      <c r="V167" s="303"/>
    </row>
    <row r="168" spans="10:22" ht="11.4">
      <c r="J168" s="303"/>
      <c r="K168" s="303"/>
      <c r="L168" s="303"/>
      <c r="M168" s="303"/>
      <c r="N168" s="303"/>
      <c r="O168" s="303"/>
      <c r="P168" s="303"/>
      <c r="Q168" s="303"/>
      <c r="R168" s="303"/>
      <c r="S168" s="303"/>
      <c r="T168" s="303"/>
      <c r="U168" s="303"/>
      <c r="V168" s="303"/>
    </row>
    <row r="169" spans="10:22" ht="11.4">
      <c r="J169" s="303"/>
      <c r="K169" s="303"/>
      <c r="L169" s="303"/>
      <c r="M169" s="303"/>
      <c r="N169" s="303"/>
      <c r="O169" s="303"/>
      <c r="P169" s="303"/>
      <c r="Q169" s="303"/>
      <c r="R169" s="303"/>
      <c r="S169" s="303"/>
      <c r="T169" s="303"/>
      <c r="U169" s="303"/>
      <c r="V169" s="303"/>
    </row>
    <row r="170" spans="10:22" ht="11.4">
      <c r="J170" s="303"/>
      <c r="K170" s="303"/>
      <c r="L170" s="303"/>
      <c r="M170" s="303"/>
      <c r="N170" s="303"/>
      <c r="O170" s="303"/>
      <c r="P170" s="303"/>
      <c r="Q170" s="303"/>
      <c r="R170" s="303"/>
      <c r="S170" s="303"/>
      <c r="T170" s="303"/>
      <c r="U170" s="303"/>
      <c r="V170" s="303"/>
    </row>
    <row r="171" spans="10:22" ht="11.4">
      <c r="J171" s="303"/>
      <c r="K171" s="303"/>
      <c r="L171" s="303"/>
      <c r="M171" s="303"/>
      <c r="N171" s="303"/>
      <c r="O171" s="303"/>
      <c r="P171" s="303"/>
      <c r="Q171" s="303"/>
      <c r="R171" s="303"/>
      <c r="S171" s="303"/>
      <c r="T171" s="303"/>
      <c r="U171" s="303"/>
      <c r="V171" s="303"/>
    </row>
    <row r="172" spans="10:22" ht="11.4">
      <c r="J172" s="303"/>
      <c r="K172" s="303"/>
      <c r="L172" s="303"/>
      <c r="M172" s="303"/>
      <c r="N172" s="303"/>
      <c r="O172" s="303"/>
      <c r="P172" s="303"/>
      <c r="Q172" s="303"/>
      <c r="R172" s="303"/>
      <c r="S172" s="303"/>
      <c r="T172" s="303"/>
      <c r="U172" s="303"/>
      <c r="V172" s="303"/>
    </row>
    <row r="173" spans="10:22" ht="11.4">
      <c r="J173" s="303"/>
      <c r="K173" s="303"/>
      <c r="L173" s="303"/>
      <c r="M173" s="303"/>
      <c r="N173" s="303"/>
      <c r="O173" s="303"/>
      <c r="P173" s="303"/>
      <c r="Q173" s="303"/>
      <c r="R173" s="303"/>
      <c r="S173" s="303"/>
      <c r="T173" s="303"/>
      <c r="U173" s="303"/>
      <c r="V173" s="303"/>
    </row>
    <row r="174" spans="10:22" ht="11.4">
      <c r="J174" s="303"/>
      <c r="K174" s="303"/>
      <c r="L174" s="303"/>
      <c r="M174" s="303"/>
      <c r="N174" s="303"/>
      <c r="O174" s="303"/>
      <c r="P174" s="303"/>
      <c r="Q174" s="303"/>
      <c r="R174" s="303"/>
      <c r="S174" s="303"/>
      <c r="T174" s="303"/>
      <c r="U174" s="303"/>
      <c r="V174" s="303"/>
    </row>
    <row r="175" spans="10:22" ht="11.4">
      <c r="J175" s="303"/>
      <c r="K175" s="303"/>
      <c r="L175" s="303"/>
      <c r="M175" s="303"/>
      <c r="N175" s="303"/>
      <c r="O175" s="303"/>
      <c r="P175" s="303"/>
      <c r="Q175" s="303"/>
      <c r="R175" s="303"/>
      <c r="S175" s="303"/>
      <c r="T175" s="303"/>
      <c r="U175" s="303"/>
      <c r="V175" s="303"/>
    </row>
    <row r="176" spans="10:22" ht="11.4">
      <c r="J176" s="303"/>
      <c r="K176" s="303"/>
      <c r="L176" s="303"/>
      <c r="M176" s="303"/>
      <c r="N176" s="303"/>
      <c r="O176" s="303"/>
      <c r="P176" s="303"/>
      <c r="Q176" s="303"/>
      <c r="R176" s="303"/>
      <c r="S176" s="303"/>
      <c r="T176" s="303"/>
      <c r="U176" s="303"/>
      <c r="V176" s="303"/>
    </row>
    <row r="177" spans="10:22" ht="11.4">
      <c r="J177" s="303"/>
      <c r="K177" s="303"/>
      <c r="L177" s="303"/>
      <c r="M177" s="303"/>
      <c r="N177" s="303"/>
      <c r="O177" s="303"/>
      <c r="P177" s="303"/>
      <c r="Q177" s="303"/>
      <c r="R177" s="303"/>
      <c r="S177" s="303"/>
      <c r="T177" s="303"/>
      <c r="U177" s="303"/>
      <c r="V177" s="303"/>
    </row>
    <row r="178" spans="10:22" ht="11.4">
      <c r="J178" s="303"/>
      <c r="K178" s="303"/>
      <c r="L178" s="303"/>
      <c r="M178" s="303"/>
      <c r="N178" s="303"/>
      <c r="O178" s="303"/>
      <c r="P178" s="303"/>
      <c r="Q178" s="303"/>
      <c r="R178" s="303"/>
      <c r="S178" s="303"/>
      <c r="T178" s="303"/>
      <c r="U178" s="303"/>
      <c r="V178" s="303"/>
    </row>
    <row r="179" spans="10:22" ht="11.4">
      <c r="J179" s="303"/>
      <c r="K179" s="303"/>
      <c r="L179" s="303"/>
      <c r="M179" s="303"/>
      <c r="N179" s="303"/>
      <c r="O179" s="303"/>
      <c r="P179" s="303"/>
      <c r="Q179" s="303"/>
      <c r="R179" s="303"/>
      <c r="S179" s="303"/>
      <c r="T179" s="303"/>
      <c r="U179" s="303"/>
      <c r="V179" s="303"/>
    </row>
    <row r="180" spans="10:22" ht="11.4">
      <c r="J180" s="303"/>
      <c r="K180" s="303"/>
      <c r="L180" s="303"/>
      <c r="M180" s="303"/>
      <c r="N180" s="303"/>
      <c r="O180" s="303"/>
      <c r="P180" s="303"/>
      <c r="Q180" s="303"/>
      <c r="R180" s="303"/>
      <c r="S180" s="303"/>
      <c r="T180" s="303"/>
      <c r="U180" s="303"/>
      <c r="V180" s="303"/>
    </row>
    <row r="181" spans="10:22" ht="11.4">
      <c r="J181" s="303"/>
      <c r="K181" s="303"/>
      <c r="L181" s="303"/>
      <c r="M181" s="303"/>
      <c r="N181" s="303"/>
      <c r="O181" s="303"/>
      <c r="P181" s="303"/>
      <c r="Q181" s="303"/>
      <c r="R181" s="303"/>
      <c r="S181" s="303"/>
      <c r="T181" s="303"/>
      <c r="U181" s="303"/>
      <c r="V181" s="303"/>
    </row>
    <row r="182" spans="10:22" ht="11.4">
      <c r="J182" s="303"/>
      <c r="K182" s="303"/>
      <c r="L182" s="303"/>
      <c r="M182" s="303"/>
      <c r="N182" s="303"/>
      <c r="O182" s="303"/>
      <c r="P182" s="303"/>
      <c r="Q182" s="303"/>
      <c r="R182" s="303"/>
      <c r="S182" s="303"/>
      <c r="T182" s="303"/>
      <c r="U182" s="303"/>
      <c r="V182" s="303"/>
    </row>
    <row r="183" spans="10:22" ht="11.4">
      <c r="J183" s="303"/>
      <c r="K183" s="303"/>
      <c r="L183" s="303"/>
      <c r="M183" s="303"/>
      <c r="N183" s="303"/>
      <c r="O183" s="303"/>
      <c r="P183" s="303"/>
      <c r="Q183" s="303"/>
      <c r="R183" s="303"/>
      <c r="S183" s="303"/>
      <c r="T183" s="303"/>
      <c r="U183" s="303"/>
      <c r="V183" s="303"/>
    </row>
    <row r="184" spans="10:22" ht="11.4">
      <c r="J184" s="303"/>
      <c r="K184" s="303"/>
      <c r="L184" s="303"/>
      <c r="M184" s="303"/>
      <c r="N184" s="303"/>
      <c r="O184" s="303"/>
      <c r="P184" s="303"/>
      <c r="Q184" s="303"/>
      <c r="R184" s="303"/>
      <c r="S184" s="303"/>
      <c r="T184" s="303"/>
      <c r="U184" s="303"/>
      <c r="V184" s="303"/>
    </row>
    <row r="185" spans="10:22" ht="11.4">
      <c r="J185" s="303"/>
      <c r="K185" s="303"/>
      <c r="L185" s="303"/>
      <c r="M185" s="303"/>
      <c r="N185" s="303"/>
      <c r="O185" s="303"/>
      <c r="P185" s="303"/>
      <c r="Q185" s="303"/>
      <c r="R185" s="303"/>
      <c r="S185" s="303"/>
      <c r="T185" s="303"/>
      <c r="U185" s="303"/>
      <c r="V185" s="303"/>
    </row>
    <row r="186" spans="10:22" ht="11.4">
      <c r="J186" s="303"/>
      <c r="K186" s="303"/>
      <c r="L186" s="303"/>
      <c r="M186" s="303"/>
      <c r="N186" s="303"/>
      <c r="O186" s="303"/>
      <c r="P186" s="303"/>
      <c r="Q186" s="303"/>
      <c r="R186" s="303"/>
      <c r="S186" s="303"/>
      <c r="T186" s="303"/>
      <c r="U186" s="303"/>
      <c r="V186" s="303"/>
    </row>
    <row r="187" spans="10:22" ht="11.4">
      <c r="J187" s="303"/>
      <c r="K187" s="303"/>
      <c r="L187" s="303"/>
      <c r="M187" s="303"/>
      <c r="N187" s="303"/>
      <c r="O187" s="303"/>
      <c r="P187" s="303"/>
      <c r="Q187" s="303"/>
      <c r="R187" s="303"/>
      <c r="S187" s="303"/>
      <c r="T187" s="303"/>
      <c r="U187" s="303"/>
      <c r="V187" s="303"/>
    </row>
    <row r="188" spans="10:22" ht="11.4">
      <c r="J188" s="303"/>
      <c r="K188" s="303"/>
      <c r="L188" s="303"/>
      <c r="M188" s="303"/>
      <c r="N188" s="303"/>
      <c r="O188" s="303"/>
      <c r="P188" s="303"/>
      <c r="Q188" s="303"/>
      <c r="R188" s="303"/>
      <c r="S188" s="303"/>
      <c r="T188" s="303"/>
      <c r="U188" s="303"/>
      <c r="V188" s="303"/>
    </row>
    <row r="189" spans="10:22" ht="11.4">
      <c r="J189" s="303"/>
      <c r="K189" s="303"/>
      <c r="L189" s="303"/>
      <c r="M189" s="303"/>
      <c r="N189" s="303"/>
      <c r="O189" s="303"/>
      <c r="P189" s="303"/>
      <c r="Q189" s="303"/>
      <c r="R189" s="303"/>
      <c r="S189" s="303"/>
      <c r="T189" s="303"/>
      <c r="U189" s="303"/>
      <c r="V189" s="303"/>
    </row>
    <row r="190" spans="10:22" ht="11.4">
      <c r="J190" s="303"/>
      <c r="K190" s="303"/>
      <c r="L190" s="303"/>
      <c r="M190" s="303"/>
      <c r="N190" s="303"/>
      <c r="O190" s="303"/>
      <c r="P190" s="303"/>
      <c r="Q190" s="303"/>
      <c r="R190" s="303"/>
      <c r="S190" s="303"/>
      <c r="T190" s="303"/>
      <c r="U190" s="303"/>
      <c r="V190" s="303"/>
    </row>
    <row r="191" spans="10:22" ht="11.4">
      <c r="J191" s="303"/>
      <c r="K191" s="303"/>
      <c r="L191" s="303"/>
      <c r="M191" s="303"/>
      <c r="N191" s="303"/>
      <c r="O191" s="303"/>
      <c r="P191" s="303"/>
      <c r="Q191" s="303"/>
      <c r="R191" s="303"/>
      <c r="S191" s="303"/>
      <c r="T191" s="303"/>
      <c r="U191" s="303"/>
      <c r="V191" s="303"/>
    </row>
    <row r="192" spans="10:22" ht="11.4">
      <c r="J192" s="303"/>
      <c r="K192" s="303"/>
      <c r="L192" s="303"/>
      <c r="M192" s="303"/>
      <c r="N192" s="303"/>
      <c r="O192" s="303"/>
      <c r="P192" s="303"/>
      <c r="Q192" s="303"/>
      <c r="R192" s="303"/>
      <c r="S192" s="303"/>
      <c r="T192" s="303"/>
      <c r="U192" s="303"/>
      <c r="V192" s="303"/>
    </row>
    <row r="193" spans="10:22" ht="11.4">
      <c r="J193" s="303"/>
      <c r="K193" s="303"/>
      <c r="L193" s="303"/>
      <c r="M193" s="303"/>
      <c r="N193" s="303"/>
      <c r="O193" s="303"/>
      <c r="P193" s="303"/>
      <c r="Q193" s="303"/>
      <c r="R193" s="303"/>
      <c r="S193" s="303"/>
      <c r="T193" s="303"/>
      <c r="U193" s="303"/>
      <c r="V193" s="303"/>
    </row>
    <row r="194" spans="10:22" ht="11.4">
      <c r="J194" s="303"/>
      <c r="K194" s="303"/>
      <c r="L194" s="303"/>
      <c r="M194" s="303"/>
      <c r="N194" s="303"/>
      <c r="O194" s="303"/>
      <c r="P194" s="303"/>
      <c r="Q194" s="303"/>
      <c r="R194" s="303"/>
      <c r="S194" s="303"/>
      <c r="T194" s="303"/>
      <c r="U194" s="303"/>
      <c r="V194" s="303"/>
    </row>
    <row r="195" spans="10:22" ht="11.4">
      <c r="J195" s="303"/>
      <c r="K195" s="303"/>
      <c r="L195" s="303"/>
      <c r="M195" s="303"/>
      <c r="N195" s="303"/>
      <c r="O195" s="303"/>
      <c r="P195" s="303"/>
      <c r="Q195" s="303"/>
      <c r="R195" s="303"/>
      <c r="S195" s="303"/>
      <c r="T195" s="303"/>
      <c r="U195" s="303"/>
      <c r="V195" s="303"/>
    </row>
    <row r="196" spans="10:22" ht="11.4">
      <c r="J196" s="303"/>
      <c r="K196" s="303"/>
      <c r="L196" s="303"/>
      <c r="M196" s="303"/>
      <c r="N196" s="303"/>
      <c r="O196" s="303"/>
      <c r="P196" s="303"/>
      <c r="Q196" s="303"/>
      <c r="R196" s="303"/>
      <c r="S196" s="303"/>
      <c r="T196" s="303"/>
      <c r="U196" s="303"/>
      <c r="V196" s="303"/>
    </row>
    <row r="197" spans="10:22" ht="11.4">
      <c r="J197" s="303"/>
      <c r="K197" s="303"/>
      <c r="L197" s="303"/>
      <c r="M197" s="303"/>
      <c r="N197" s="303"/>
      <c r="O197" s="303"/>
      <c r="P197" s="303"/>
      <c r="Q197" s="303"/>
      <c r="R197" s="303"/>
      <c r="S197" s="303"/>
      <c r="T197" s="303"/>
      <c r="U197" s="303"/>
      <c r="V197" s="303"/>
    </row>
    <row r="198" spans="10:22" ht="11.4">
      <c r="J198" s="303"/>
      <c r="K198" s="303"/>
      <c r="L198" s="303"/>
      <c r="M198" s="303"/>
      <c r="N198" s="303"/>
      <c r="O198" s="303"/>
      <c r="P198" s="303"/>
      <c r="Q198" s="303"/>
      <c r="R198" s="303"/>
      <c r="S198" s="303"/>
      <c r="T198" s="303"/>
      <c r="U198" s="303"/>
      <c r="V198" s="303"/>
    </row>
    <row r="199" spans="10:22" ht="11.4">
      <c r="J199" s="303"/>
      <c r="K199" s="303"/>
      <c r="L199" s="303"/>
      <c r="M199" s="303"/>
      <c r="N199" s="303"/>
      <c r="O199" s="303"/>
      <c r="P199" s="303"/>
      <c r="Q199" s="303"/>
      <c r="R199" s="303"/>
      <c r="S199" s="303"/>
      <c r="T199" s="303"/>
      <c r="U199" s="303"/>
      <c r="V199" s="303"/>
    </row>
    <row r="200" spans="10:22" ht="11.4">
      <c r="J200" s="303"/>
      <c r="K200" s="303"/>
      <c r="L200" s="303"/>
      <c r="M200" s="303"/>
      <c r="N200" s="303"/>
      <c r="O200" s="303"/>
      <c r="P200" s="303"/>
      <c r="Q200" s="303"/>
      <c r="R200" s="303"/>
      <c r="S200" s="303"/>
      <c r="T200" s="303"/>
      <c r="U200" s="303"/>
      <c r="V200" s="303"/>
    </row>
    <row r="201" spans="10:22" ht="11.4">
      <c r="J201" s="303"/>
      <c r="K201" s="303"/>
      <c r="L201" s="303"/>
      <c r="M201" s="303"/>
      <c r="N201" s="303"/>
      <c r="O201" s="303"/>
      <c r="P201" s="303"/>
      <c r="Q201" s="303"/>
      <c r="R201" s="303"/>
      <c r="S201" s="303"/>
      <c r="T201" s="303"/>
      <c r="U201" s="303"/>
      <c r="V201" s="303"/>
    </row>
    <row r="202" spans="10:22" ht="11.4">
      <c r="J202" s="303"/>
      <c r="K202" s="303"/>
      <c r="L202" s="303"/>
      <c r="M202" s="303"/>
      <c r="N202" s="303"/>
      <c r="O202" s="303"/>
      <c r="P202" s="303"/>
      <c r="Q202" s="303"/>
      <c r="R202" s="303"/>
      <c r="S202" s="303"/>
      <c r="T202" s="303"/>
      <c r="U202" s="303"/>
      <c r="V202" s="303"/>
    </row>
    <row r="203" spans="10:22" ht="11.4">
      <c r="J203" s="303"/>
      <c r="K203" s="303"/>
      <c r="L203" s="303"/>
      <c r="M203" s="303"/>
      <c r="N203" s="303"/>
      <c r="O203" s="303"/>
      <c r="P203" s="303"/>
      <c r="Q203" s="303"/>
      <c r="R203" s="303"/>
      <c r="S203" s="303"/>
      <c r="T203" s="303"/>
      <c r="U203" s="303"/>
      <c r="V203" s="303"/>
    </row>
    <row r="204" spans="10:22" ht="11.4">
      <c r="J204" s="303"/>
      <c r="K204" s="303"/>
      <c r="L204" s="303"/>
      <c r="M204" s="303"/>
      <c r="N204" s="303"/>
      <c r="O204" s="303"/>
      <c r="P204" s="303"/>
      <c r="Q204" s="303"/>
      <c r="R204" s="303"/>
      <c r="S204" s="303"/>
      <c r="T204" s="303"/>
      <c r="U204" s="303"/>
      <c r="V204" s="303"/>
    </row>
    <row r="205" spans="10:22" ht="11.4">
      <c r="J205" s="303"/>
      <c r="K205" s="303"/>
      <c r="L205" s="303"/>
      <c r="M205" s="303"/>
      <c r="N205" s="303"/>
      <c r="O205" s="303"/>
      <c r="P205" s="303"/>
      <c r="Q205" s="303"/>
      <c r="R205" s="303"/>
      <c r="S205" s="303"/>
      <c r="T205" s="303"/>
      <c r="U205" s="303"/>
      <c r="V205" s="303"/>
    </row>
    <row r="206" spans="10:22" ht="11.4">
      <c r="J206" s="303"/>
      <c r="K206" s="303"/>
      <c r="L206" s="303"/>
      <c r="M206" s="303"/>
      <c r="N206" s="303"/>
      <c r="O206" s="303"/>
      <c r="P206" s="303"/>
      <c r="Q206" s="303"/>
      <c r="R206" s="303"/>
      <c r="S206" s="303"/>
      <c r="T206" s="303"/>
      <c r="U206" s="303"/>
      <c r="V206" s="303"/>
    </row>
    <row r="207" spans="10:22" ht="11.4">
      <c r="J207" s="303"/>
      <c r="K207" s="303"/>
      <c r="L207" s="303"/>
      <c r="M207" s="303"/>
      <c r="N207" s="303"/>
      <c r="O207" s="303"/>
      <c r="P207" s="303"/>
      <c r="Q207" s="303"/>
      <c r="R207" s="303"/>
      <c r="S207" s="303"/>
      <c r="T207" s="303"/>
      <c r="U207" s="303"/>
      <c r="V207" s="303"/>
    </row>
    <row r="208" spans="10:22" ht="11.4">
      <c r="J208" s="303"/>
      <c r="K208" s="303"/>
      <c r="L208" s="303"/>
      <c r="M208" s="303"/>
      <c r="N208" s="303"/>
      <c r="O208" s="303"/>
      <c r="P208" s="303"/>
      <c r="Q208" s="303"/>
      <c r="R208" s="303"/>
      <c r="S208" s="303"/>
      <c r="T208" s="303"/>
      <c r="U208" s="303"/>
      <c r="V208" s="303"/>
    </row>
    <row r="209" spans="10:22" ht="11.4">
      <c r="J209" s="303"/>
      <c r="K209" s="303"/>
      <c r="L209" s="303"/>
      <c r="M209" s="303"/>
      <c r="N209" s="303"/>
      <c r="O209" s="303"/>
      <c r="P209" s="303"/>
      <c r="Q209" s="303"/>
      <c r="R209" s="303"/>
      <c r="S209" s="303"/>
      <c r="T209" s="303"/>
      <c r="U209" s="303"/>
      <c r="V209" s="303"/>
    </row>
    <row r="210" spans="10:22" ht="11.4">
      <c r="J210" s="303"/>
      <c r="K210" s="303"/>
      <c r="L210" s="303"/>
      <c r="M210" s="303"/>
      <c r="N210" s="303"/>
      <c r="O210" s="303"/>
      <c r="P210" s="303"/>
      <c r="Q210" s="303"/>
      <c r="R210" s="303"/>
      <c r="S210" s="303"/>
      <c r="T210" s="303"/>
      <c r="U210" s="303"/>
      <c r="V210" s="303"/>
    </row>
    <row r="211" spans="10:22" ht="11.4">
      <c r="J211" s="303"/>
      <c r="K211" s="303"/>
      <c r="L211" s="303"/>
      <c r="M211" s="303"/>
      <c r="N211" s="303"/>
      <c r="O211" s="303"/>
      <c r="P211" s="303"/>
      <c r="Q211" s="303"/>
      <c r="R211" s="303"/>
      <c r="S211" s="303"/>
      <c r="T211" s="303"/>
      <c r="U211" s="303"/>
      <c r="V211" s="303"/>
    </row>
    <row r="212" spans="10:22" ht="11.4">
      <c r="J212" s="303"/>
      <c r="K212" s="303"/>
      <c r="L212" s="303"/>
      <c r="M212" s="303"/>
      <c r="N212" s="303"/>
      <c r="O212" s="303"/>
      <c r="P212" s="303"/>
      <c r="Q212" s="303"/>
      <c r="R212" s="303"/>
      <c r="S212" s="303"/>
      <c r="T212" s="303"/>
      <c r="U212" s="303"/>
      <c r="V212" s="303"/>
    </row>
    <row r="213" spans="10:22" ht="11.4">
      <c r="J213" s="303"/>
      <c r="K213" s="303"/>
      <c r="L213" s="303"/>
      <c r="M213" s="303"/>
      <c r="N213" s="303"/>
      <c r="O213" s="303"/>
      <c r="P213" s="303"/>
      <c r="Q213" s="303"/>
      <c r="R213" s="303"/>
      <c r="S213" s="303"/>
      <c r="T213" s="303"/>
      <c r="U213" s="303"/>
      <c r="V213" s="303"/>
    </row>
    <row r="214" spans="10:22" ht="11.4">
      <c r="J214" s="303"/>
      <c r="K214" s="303"/>
      <c r="L214" s="303"/>
      <c r="M214" s="303"/>
      <c r="N214" s="303"/>
      <c r="O214" s="303"/>
      <c r="P214" s="303"/>
      <c r="Q214" s="303"/>
      <c r="R214" s="303"/>
      <c r="S214" s="303"/>
      <c r="T214" s="303"/>
      <c r="U214" s="303"/>
      <c r="V214" s="303"/>
    </row>
    <row r="215" spans="10:22" ht="11.4">
      <c r="J215" s="303"/>
      <c r="K215" s="303"/>
      <c r="L215" s="303"/>
      <c r="M215" s="303"/>
      <c r="N215" s="303"/>
      <c r="O215" s="303"/>
      <c r="P215" s="303"/>
      <c r="Q215" s="303"/>
      <c r="R215" s="303"/>
      <c r="S215" s="303"/>
      <c r="T215" s="303"/>
      <c r="U215" s="303"/>
      <c r="V215" s="303"/>
    </row>
    <row r="216" spans="10:22" ht="11.4">
      <c r="J216" s="303"/>
      <c r="K216" s="303"/>
      <c r="L216" s="303"/>
      <c r="M216" s="303"/>
      <c r="N216" s="303"/>
      <c r="O216" s="303"/>
      <c r="P216" s="303"/>
      <c r="Q216" s="303"/>
      <c r="R216" s="303"/>
      <c r="S216" s="303"/>
      <c r="T216" s="303"/>
      <c r="U216" s="303"/>
      <c r="V216" s="303"/>
    </row>
    <row r="217" spans="10:22" ht="11.4">
      <c r="J217" s="303"/>
      <c r="K217" s="303"/>
      <c r="L217" s="303"/>
      <c r="M217" s="303"/>
      <c r="N217" s="303"/>
      <c r="O217" s="303"/>
      <c r="P217" s="303"/>
      <c r="Q217" s="303"/>
      <c r="R217" s="303"/>
      <c r="S217" s="303"/>
      <c r="T217" s="303"/>
      <c r="U217" s="303"/>
      <c r="V217" s="303"/>
    </row>
    <row r="218" spans="10:22" ht="11.4">
      <c r="J218" s="303"/>
      <c r="K218" s="303"/>
      <c r="L218" s="303"/>
      <c r="M218" s="303"/>
      <c r="N218" s="303"/>
      <c r="O218" s="303"/>
      <c r="P218" s="303"/>
      <c r="Q218" s="303"/>
      <c r="R218" s="303"/>
      <c r="S218" s="303"/>
      <c r="T218" s="303"/>
      <c r="U218" s="303"/>
      <c r="V218" s="303"/>
    </row>
    <row r="219" spans="10:22" ht="11.4">
      <c r="J219" s="303"/>
      <c r="K219" s="303"/>
      <c r="L219" s="303"/>
      <c r="M219" s="303"/>
      <c r="N219" s="303"/>
      <c r="O219" s="303"/>
      <c r="P219" s="303"/>
      <c r="Q219" s="303"/>
      <c r="R219" s="303"/>
      <c r="S219" s="303"/>
      <c r="T219" s="303"/>
      <c r="U219" s="303"/>
      <c r="V219" s="303"/>
    </row>
    <row r="220" spans="10:22" ht="11.4">
      <c r="J220" s="303"/>
      <c r="K220" s="303"/>
      <c r="L220" s="303"/>
      <c r="M220" s="303"/>
      <c r="N220" s="303"/>
      <c r="O220" s="303"/>
      <c r="P220" s="303"/>
      <c r="Q220" s="303"/>
      <c r="R220" s="303"/>
      <c r="S220" s="303"/>
      <c r="T220" s="303"/>
      <c r="U220" s="303"/>
      <c r="V220" s="303"/>
    </row>
    <row r="221" spans="10:22" ht="11.4">
      <c r="J221" s="303"/>
      <c r="K221" s="303"/>
      <c r="L221" s="303"/>
      <c r="M221" s="303"/>
      <c r="N221" s="303"/>
      <c r="O221" s="303"/>
      <c r="P221" s="303"/>
      <c r="Q221" s="303"/>
      <c r="R221" s="303"/>
      <c r="S221" s="303"/>
      <c r="T221" s="303"/>
      <c r="U221" s="303"/>
      <c r="V221" s="303"/>
    </row>
    <row r="222" spans="10:22" ht="11.4">
      <c r="J222" s="303"/>
      <c r="K222" s="303"/>
      <c r="L222" s="303"/>
      <c r="M222" s="303"/>
      <c r="N222" s="303"/>
      <c r="O222" s="303"/>
      <c r="P222" s="303"/>
      <c r="Q222" s="303"/>
      <c r="R222" s="303"/>
      <c r="S222" s="303"/>
      <c r="T222" s="303"/>
      <c r="U222" s="303"/>
      <c r="V222" s="303"/>
    </row>
    <row r="223" spans="10:22" ht="11.4">
      <c r="J223" s="303"/>
      <c r="K223" s="303"/>
      <c r="L223" s="303"/>
      <c r="M223" s="303"/>
      <c r="N223" s="303"/>
      <c r="O223" s="303"/>
      <c r="P223" s="303"/>
      <c r="Q223" s="303"/>
      <c r="R223" s="303"/>
      <c r="S223" s="303"/>
      <c r="T223" s="303"/>
      <c r="U223" s="303"/>
      <c r="V223" s="303"/>
    </row>
    <row r="224" spans="10:22" ht="11.4">
      <c r="J224" s="303"/>
      <c r="K224" s="303"/>
      <c r="L224" s="303"/>
      <c r="M224" s="303"/>
      <c r="N224" s="303"/>
      <c r="O224" s="303"/>
      <c r="P224" s="303"/>
      <c r="Q224" s="303"/>
      <c r="R224" s="303"/>
      <c r="S224" s="303"/>
      <c r="T224" s="303"/>
      <c r="U224" s="303"/>
      <c r="V224" s="303"/>
    </row>
    <row r="225" spans="10:22" ht="11.4">
      <c r="J225" s="303"/>
      <c r="K225" s="303"/>
      <c r="L225" s="303"/>
      <c r="M225" s="303"/>
      <c r="N225" s="303"/>
      <c r="O225" s="303"/>
      <c r="P225" s="303"/>
      <c r="Q225" s="303"/>
      <c r="R225" s="303"/>
      <c r="S225" s="303"/>
      <c r="T225" s="303"/>
      <c r="U225" s="303"/>
      <c r="V225" s="303"/>
    </row>
    <row r="226" spans="10:22" ht="11.4">
      <c r="J226" s="303"/>
      <c r="K226" s="303"/>
      <c r="L226" s="303"/>
      <c r="M226" s="303"/>
      <c r="N226" s="303"/>
      <c r="O226" s="303"/>
      <c r="P226" s="303"/>
      <c r="Q226" s="303"/>
      <c r="R226" s="303"/>
      <c r="S226" s="303"/>
      <c r="T226" s="303"/>
      <c r="U226" s="303"/>
      <c r="V226" s="303"/>
    </row>
    <row r="227" spans="10:22" ht="11.4">
      <c r="J227" s="303"/>
      <c r="K227" s="303"/>
      <c r="L227" s="303"/>
      <c r="M227" s="303"/>
      <c r="N227" s="303"/>
      <c r="O227" s="303"/>
      <c r="P227" s="303"/>
      <c r="Q227" s="303"/>
      <c r="R227" s="303"/>
      <c r="S227" s="303"/>
      <c r="T227" s="303"/>
      <c r="U227" s="303"/>
      <c r="V227" s="303"/>
    </row>
    <row r="228" spans="10:22" ht="11.4">
      <c r="J228" s="303"/>
      <c r="K228" s="303"/>
      <c r="L228" s="303"/>
      <c r="M228" s="303"/>
      <c r="N228" s="303"/>
      <c r="O228" s="303"/>
      <c r="P228" s="303"/>
      <c r="Q228" s="303"/>
      <c r="R228" s="303"/>
      <c r="S228" s="303"/>
      <c r="T228" s="303"/>
      <c r="U228" s="303"/>
      <c r="V228" s="303"/>
    </row>
    <row r="229" spans="10:22" ht="11.4">
      <c r="J229" s="303"/>
      <c r="K229" s="303"/>
      <c r="L229" s="303"/>
      <c r="M229" s="303"/>
      <c r="N229" s="303"/>
      <c r="O229" s="303"/>
      <c r="P229" s="303"/>
      <c r="Q229" s="303"/>
      <c r="R229" s="303"/>
      <c r="S229" s="303"/>
      <c r="T229" s="303"/>
      <c r="U229" s="303"/>
      <c r="V229" s="303"/>
    </row>
    <row r="230" spans="10:22" ht="11.4">
      <c r="J230" s="303"/>
      <c r="K230" s="303"/>
      <c r="L230" s="303"/>
      <c r="M230" s="303"/>
      <c r="N230" s="303"/>
      <c r="O230" s="303"/>
      <c r="P230" s="303"/>
      <c r="Q230" s="303"/>
      <c r="R230" s="303"/>
      <c r="S230" s="303"/>
      <c r="T230" s="303"/>
      <c r="U230" s="303"/>
      <c r="V230" s="303"/>
    </row>
    <row r="231" spans="10:22" ht="11.4">
      <c r="J231" s="303"/>
      <c r="K231" s="303"/>
      <c r="L231" s="303"/>
      <c r="M231" s="303"/>
      <c r="N231" s="303"/>
      <c r="O231" s="303"/>
      <c r="P231" s="303"/>
      <c r="Q231" s="303"/>
      <c r="R231" s="303"/>
      <c r="S231" s="303"/>
      <c r="T231" s="303"/>
      <c r="U231" s="303"/>
      <c r="V231" s="303"/>
    </row>
    <row r="232" spans="10:22" ht="11.4">
      <c r="J232" s="303"/>
      <c r="K232" s="303"/>
      <c r="L232" s="303"/>
      <c r="M232" s="303"/>
      <c r="N232" s="303"/>
      <c r="O232" s="303"/>
      <c r="P232" s="303"/>
      <c r="Q232" s="303"/>
      <c r="R232" s="303"/>
      <c r="S232" s="303"/>
      <c r="T232" s="303"/>
      <c r="U232" s="303"/>
      <c r="V232" s="303"/>
    </row>
    <row r="233" spans="10:22" ht="11.4">
      <c r="J233" s="303"/>
      <c r="K233" s="303"/>
      <c r="L233" s="303"/>
      <c r="M233" s="303"/>
      <c r="N233" s="303"/>
      <c r="O233" s="303"/>
      <c r="P233" s="303"/>
      <c r="Q233" s="303"/>
      <c r="R233" s="303"/>
      <c r="S233" s="303"/>
      <c r="T233" s="303"/>
      <c r="U233" s="303"/>
      <c r="V233" s="303"/>
    </row>
    <row r="234" spans="10:22" ht="11.4">
      <c r="J234" s="303"/>
      <c r="K234" s="303"/>
      <c r="L234" s="303"/>
      <c r="M234" s="303"/>
      <c r="N234" s="303"/>
      <c r="O234" s="303"/>
      <c r="P234" s="303"/>
      <c r="Q234" s="303"/>
      <c r="R234" s="303"/>
      <c r="S234" s="303"/>
      <c r="T234" s="303"/>
      <c r="U234" s="303"/>
      <c r="V234" s="303"/>
    </row>
    <row r="235" spans="10:22" ht="11.4">
      <c r="J235" s="303"/>
      <c r="K235" s="303"/>
      <c r="L235" s="303"/>
      <c r="M235" s="303"/>
      <c r="N235" s="303"/>
      <c r="O235" s="303"/>
      <c r="P235" s="303"/>
      <c r="Q235" s="303"/>
      <c r="R235" s="303"/>
      <c r="S235" s="303"/>
      <c r="T235" s="303"/>
      <c r="U235" s="303"/>
      <c r="V235" s="303"/>
    </row>
    <row r="236" spans="10:22" ht="11.4">
      <c r="J236" s="303"/>
      <c r="K236" s="303"/>
      <c r="L236" s="303"/>
      <c r="M236" s="303"/>
      <c r="N236" s="303"/>
      <c r="O236" s="303"/>
      <c r="P236" s="303"/>
      <c r="Q236" s="303"/>
      <c r="R236" s="303"/>
      <c r="S236" s="303"/>
      <c r="T236" s="303"/>
      <c r="U236" s="303"/>
      <c r="V236" s="303"/>
    </row>
    <row r="237" spans="10:22" ht="11.4">
      <c r="J237" s="303"/>
      <c r="K237" s="303"/>
      <c r="L237" s="303"/>
      <c r="M237" s="303"/>
      <c r="N237" s="303"/>
      <c r="O237" s="303"/>
      <c r="P237" s="303"/>
      <c r="Q237" s="303"/>
      <c r="R237" s="303"/>
      <c r="S237" s="303"/>
      <c r="T237" s="303"/>
      <c r="U237" s="303"/>
      <c r="V237" s="303"/>
    </row>
    <row r="238" spans="10:22" ht="11.4">
      <c r="J238" s="303"/>
      <c r="K238" s="303"/>
      <c r="L238" s="303"/>
      <c r="M238" s="303"/>
      <c r="N238" s="303"/>
      <c r="O238" s="303"/>
      <c r="P238" s="303"/>
      <c r="Q238" s="303"/>
      <c r="R238" s="303"/>
      <c r="S238" s="303"/>
      <c r="T238" s="303"/>
      <c r="U238" s="303"/>
      <c r="V238" s="303"/>
    </row>
    <row r="239" spans="10:22" ht="11.4">
      <c r="J239" s="303"/>
      <c r="K239" s="303"/>
      <c r="L239" s="303"/>
      <c r="M239" s="303"/>
      <c r="N239" s="303"/>
      <c r="O239" s="303"/>
      <c r="P239" s="303"/>
      <c r="Q239" s="303"/>
      <c r="R239" s="303"/>
      <c r="S239" s="303"/>
      <c r="T239" s="303"/>
      <c r="U239" s="303"/>
      <c r="V239" s="303"/>
    </row>
    <row r="240" spans="10:22" ht="11.4">
      <c r="J240" s="303"/>
      <c r="K240" s="303"/>
      <c r="L240" s="303"/>
      <c r="M240" s="303"/>
      <c r="N240" s="303"/>
      <c r="O240" s="303"/>
      <c r="P240" s="303"/>
      <c r="Q240" s="303"/>
      <c r="R240" s="303"/>
      <c r="S240" s="303"/>
      <c r="T240" s="303"/>
      <c r="U240" s="303"/>
      <c r="V240" s="303"/>
    </row>
    <row r="241" spans="10:22" ht="11.4">
      <c r="J241" s="303"/>
      <c r="K241" s="303"/>
      <c r="L241" s="303"/>
      <c r="M241" s="303"/>
      <c r="N241" s="303"/>
      <c r="O241" s="303"/>
      <c r="P241" s="303"/>
      <c r="Q241" s="303"/>
      <c r="R241" s="303"/>
      <c r="S241" s="303"/>
      <c r="T241" s="303"/>
      <c r="U241" s="303"/>
      <c r="V241" s="303"/>
    </row>
    <row r="242" spans="10:22" ht="11.4">
      <c r="J242" s="303"/>
      <c r="K242" s="303"/>
      <c r="L242" s="303"/>
      <c r="M242" s="303"/>
      <c r="N242" s="303"/>
      <c r="O242" s="303"/>
      <c r="P242" s="303"/>
      <c r="Q242" s="303"/>
      <c r="R242" s="303"/>
      <c r="S242" s="303"/>
      <c r="T242" s="303"/>
      <c r="U242" s="303"/>
      <c r="V242" s="303"/>
    </row>
    <row r="243" spans="10:22" ht="11.4">
      <c r="J243" s="303"/>
      <c r="K243" s="303"/>
      <c r="L243" s="303"/>
      <c r="M243" s="303"/>
      <c r="N243" s="303"/>
      <c r="O243" s="303"/>
      <c r="P243" s="303"/>
      <c r="Q243" s="303"/>
      <c r="R243" s="303"/>
      <c r="S243" s="303"/>
      <c r="T243" s="303"/>
      <c r="U243" s="303"/>
      <c r="V243" s="303"/>
    </row>
    <row r="244" spans="10:22" ht="11.4">
      <c r="J244" s="303"/>
      <c r="K244" s="303"/>
      <c r="L244" s="303"/>
      <c r="M244" s="303"/>
      <c r="N244" s="303"/>
      <c r="O244" s="303"/>
      <c r="P244" s="303"/>
      <c r="Q244" s="303"/>
      <c r="R244" s="303"/>
      <c r="S244" s="303"/>
      <c r="T244" s="303"/>
      <c r="U244" s="303"/>
      <c r="V244" s="303"/>
    </row>
    <row r="245" spans="10:22" ht="11.4">
      <c r="J245" s="303"/>
      <c r="K245" s="303"/>
      <c r="L245" s="303"/>
      <c r="M245" s="303"/>
      <c r="N245" s="303"/>
      <c r="O245" s="303"/>
      <c r="P245" s="303"/>
      <c r="Q245" s="303"/>
      <c r="R245" s="303"/>
      <c r="S245" s="303"/>
      <c r="T245" s="303"/>
      <c r="U245" s="303"/>
      <c r="V245" s="303"/>
    </row>
    <row r="246" spans="10:22" ht="11.4">
      <c r="J246" s="303"/>
      <c r="K246" s="303"/>
      <c r="L246" s="303"/>
      <c r="M246" s="303"/>
      <c r="N246" s="303"/>
      <c r="O246" s="303"/>
      <c r="P246" s="303"/>
      <c r="Q246" s="303"/>
      <c r="R246" s="303"/>
      <c r="S246" s="303"/>
      <c r="T246" s="303"/>
      <c r="U246" s="303"/>
      <c r="V246" s="303"/>
    </row>
    <row r="247" spans="10:22" ht="11.4">
      <c r="J247" s="303"/>
      <c r="K247" s="303"/>
      <c r="L247" s="303"/>
      <c r="M247" s="303"/>
      <c r="N247" s="303"/>
      <c r="O247" s="303"/>
      <c r="P247" s="303"/>
      <c r="Q247" s="303"/>
      <c r="R247" s="303"/>
      <c r="S247" s="303"/>
      <c r="T247" s="303"/>
      <c r="U247" s="303"/>
      <c r="V247" s="303"/>
    </row>
    <row r="248" spans="10:22" ht="11.4">
      <c r="J248" s="303"/>
      <c r="K248" s="303"/>
      <c r="L248" s="303"/>
      <c r="M248" s="303"/>
      <c r="N248" s="303"/>
      <c r="O248" s="303"/>
      <c r="P248" s="303"/>
      <c r="Q248" s="303"/>
      <c r="R248" s="303"/>
      <c r="S248" s="303"/>
      <c r="T248" s="303"/>
      <c r="U248" s="303"/>
      <c r="V248" s="303"/>
    </row>
    <row r="249" spans="10:22" ht="11.4">
      <c r="J249" s="303"/>
      <c r="K249" s="303"/>
      <c r="L249" s="303"/>
      <c r="M249" s="303"/>
      <c r="N249" s="303"/>
      <c r="O249" s="303"/>
      <c r="P249" s="303"/>
      <c r="Q249" s="303"/>
      <c r="R249" s="303"/>
      <c r="S249" s="303"/>
      <c r="T249" s="303"/>
      <c r="U249" s="303"/>
      <c r="V249" s="303"/>
    </row>
    <row r="250" spans="10:22" ht="11.4">
      <c r="J250" s="303"/>
      <c r="K250" s="303"/>
      <c r="L250" s="303"/>
      <c r="M250" s="303"/>
      <c r="N250" s="303"/>
      <c r="O250" s="303"/>
      <c r="P250" s="303"/>
      <c r="Q250" s="303"/>
      <c r="R250" s="303"/>
      <c r="S250" s="303"/>
      <c r="T250" s="303"/>
      <c r="U250" s="303"/>
      <c r="V250" s="303"/>
    </row>
    <row r="251" spans="10:22" ht="11.4">
      <c r="J251" s="303"/>
      <c r="K251" s="303"/>
      <c r="L251" s="303"/>
      <c r="M251" s="303"/>
      <c r="N251" s="303"/>
      <c r="O251" s="303"/>
      <c r="P251" s="303"/>
      <c r="Q251" s="303"/>
      <c r="R251" s="303"/>
      <c r="S251" s="303"/>
      <c r="T251" s="303"/>
      <c r="U251" s="303"/>
      <c r="V251" s="303"/>
    </row>
    <row r="252" spans="10:22" ht="11.4">
      <c r="J252" s="303"/>
      <c r="K252" s="303"/>
      <c r="L252" s="303"/>
      <c r="M252" s="303"/>
      <c r="N252" s="303"/>
      <c r="O252" s="303"/>
      <c r="P252" s="303"/>
      <c r="Q252" s="303"/>
      <c r="R252" s="303"/>
      <c r="S252" s="303"/>
      <c r="T252" s="303"/>
      <c r="U252" s="303"/>
      <c r="V252" s="303"/>
    </row>
    <row r="253" spans="10:22" ht="11.4">
      <c r="J253" s="303"/>
      <c r="K253" s="303"/>
      <c r="L253" s="303"/>
      <c r="M253" s="303"/>
      <c r="N253" s="303"/>
      <c r="O253" s="303"/>
      <c r="P253" s="303"/>
      <c r="Q253" s="303"/>
      <c r="R253" s="303"/>
      <c r="S253" s="303"/>
      <c r="T253" s="303"/>
      <c r="U253" s="303"/>
      <c r="V253" s="303"/>
    </row>
    <row r="254" spans="10:22" ht="11.4">
      <c r="J254" s="303"/>
      <c r="K254" s="303"/>
      <c r="L254" s="303"/>
      <c r="M254" s="303"/>
      <c r="N254" s="303"/>
      <c r="O254" s="303"/>
      <c r="P254" s="303"/>
      <c r="Q254" s="303"/>
      <c r="R254" s="303"/>
      <c r="S254" s="303"/>
      <c r="T254" s="303"/>
      <c r="U254" s="303"/>
      <c r="V254" s="303"/>
    </row>
    <row r="255" spans="10:22" ht="11.4">
      <c r="J255" s="303"/>
      <c r="K255" s="303"/>
      <c r="L255" s="303"/>
      <c r="M255" s="303"/>
      <c r="N255" s="303"/>
      <c r="O255" s="303"/>
      <c r="P255" s="303"/>
      <c r="Q255" s="303"/>
      <c r="R255" s="303"/>
      <c r="S255" s="303"/>
      <c r="T255" s="303"/>
      <c r="U255" s="303"/>
      <c r="V255" s="303"/>
    </row>
    <row r="256" spans="10:22" ht="11.4">
      <c r="J256" s="303"/>
      <c r="K256" s="303"/>
      <c r="L256" s="303"/>
      <c r="M256" s="303"/>
      <c r="N256" s="303"/>
      <c r="O256" s="303"/>
      <c r="P256" s="303"/>
      <c r="Q256" s="303"/>
      <c r="R256" s="303"/>
      <c r="S256" s="303"/>
      <c r="T256" s="303"/>
      <c r="U256" s="303"/>
      <c r="V256" s="303"/>
    </row>
    <row r="257" spans="10:22" ht="11.4">
      <c r="J257" s="303"/>
      <c r="K257" s="303"/>
      <c r="L257" s="303"/>
      <c r="M257" s="303"/>
      <c r="N257" s="303"/>
      <c r="O257" s="303"/>
      <c r="P257" s="303"/>
      <c r="Q257" s="303"/>
      <c r="R257" s="303"/>
      <c r="S257" s="303"/>
      <c r="T257" s="303"/>
      <c r="U257" s="303"/>
      <c r="V257" s="303"/>
    </row>
    <row r="258" spans="10:22" ht="11.4">
      <c r="J258" s="303"/>
      <c r="K258" s="303"/>
      <c r="L258" s="303"/>
      <c r="M258" s="303"/>
      <c r="N258" s="303"/>
      <c r="O258" s="303"/>
      <c r="P258" s="303"/>
      <c r="Q258" s="303"/>
      <c r="R258" s="303"/>
      <c r="S258" s="303"/>
      <c r="T258" s="303"/>
      <c r="U258" s="303"/>
      <c r="V258" s="303"/>
    </row>
    <row r="259" spans="10:22" ht="11.4">
      <c r="J259" s="303"/>
      <c r="K259" s="303"/>
      <c r="L259" s="303"/>
      <c r="M259" s="303"/>
      <c r="N259" s="303"/>
      <c r="O259" s="303"/>
      <c r="P259" s="303"/>
      <c r="Q259" s="303"/>
      <c r="R259" s="303"/>
      <c r="S259" s="303"/>
      <c r="T259" s="303"/>
      <c r="U259" s="303"/>
      <c r="V259" s="303"/>
    </row>
    <row r="260" spans="10:22" ht="11.4">
      <c r="J260" s="303"/>
      <c r="K260" s="303"/>
      <c r="L260" s="303"/>
      <c r="M260" s="303"/>
      <c r="N260" s="303"/>
      <c r="O260" s="303"/>
      <c r="P260" s="303"/>
      <c r="Q260" s="303"/>
      <c r="R260" s="303"/>
      <c r="S260" s="303"/>
      <c r="T260" s="303"/>
      <c r="U260" s="303"/>
      <c r="V260" s="303"/>
    </row>
    <row r="261" spans="10:22" ht="11.4">
      <c r="J261" s="303"/>
      <c r="K261" s="303"/>
      <c r="L261" s="303"/>
      <c r="M261" s="303"/>
      <c r="N261" s="303"/>
      <c r="O261" s="303"/>
      <c r="P261" s="303"/>
      <c r="Q261" s="303"/>
      <c r="R261" s="303"/>
      <c r="S261" s="303"/>
      <c r="T261" s="303"/>
      <c r="U261" s="303"/>
      <c r="V261" s="303"/>
    </row>
    <row r="262" spans="10:22" ht="11.4">
      <c r="J262" s="303"/>
      <c r="K262" s="303"/>
      <c r="L262" s="303"/>
      <c r="M262" s="303"/>
      <c r="N262" s="303"/>
      <c r="O262" s="303"/>
      <c r="P262" s="303"/>
      <c r="Q262" s="303"/>
      <c r="R262" s="303"/>
      <c r="S262" s="303"/>
      <c r="T262" s="303"/>
      <c r="U262" s="303"/>
      <c r="V262" s="303"/>
    </row>
    <row r="263" spans="10:22" ht="11.4">
      <c r="J263" s="303"/>
      <c r="K263" s="303"/>
      <c r="L263" s="303"/>
      <c r="M263" s="303"/>
      <c r="N263" s="303"/>
      <c r="O263" s="303"/>
      <c r="P263" s="303"/>
      <c r="Q263" s="303"/>
      <c r="R263" s="303"/>
      <c r="S263" s="303"/>
      <c r="T263" s="303"/>
      <c r="U263" s="303"/>
      <c r="V263" s="303"/>
    </row>
    <row r="264" spans="10:22" ht="11.4">
      <c r="J264" s="303"/>
      <c r="K264" s="303"/>
      <c r="L264" s="303"/>
      <c r="M264" s="303"/>
      <c r="N264" s="303"/>
      <c r="O264" s="303"/>
      <c r="P264" s="303"/>
      <c r="Q264" s="303"/>
      <c r="R264" s="303"/>
      <c r="S264" s="303"/>
      <c r="T264" s="303"/>
      <c r="U264" s="303"/>
      <c r="V264" s="303"/>
    </row>
    <row r="265" spans="10:22" ht="11.4">
      <c r="J265" s="303"/>
      <c r="K265" s="303"/>
      <c r="L265" s="303"/>
      <c r="M265" s="303"/>
      <c r="N265" s="303"/>
      <c r="O265" s="303"/>
      <c r="P265" s="303"/>
      <c r="Q265" s="303"/>
      <c r="R265" s="303"/>
      <c r="S265" s="303"/>
      <c r="T265" s="303"/>
      <c r="U265" s="303"/>
      <c r="V265" s="303"/>
    </row>
    <row r="266" spans="10:22" ht="11.4">
      <c r="J266" s="303"/>
      <c r="K266" s="303"/>
      <c r="L266" s="303"/>
      <c r="M266" s="303"/>
      <c r="N266" s="303"/>
      <c r="O266" s="303"/>
      <c r="P266" s="303"/>
      <c r="Q266" s="303"/>
      <c r="R266" s="303"/>
      <c r="S266" s="303"/>
      <c r="T266" s="303"/>
      <c r="U266" s="303"/>
      <c r="V266" s="303"/>
    </row>
    <row r="267" spans="10:22" ht="11.4">
      <c r="J267" s="303"/>
      <c r="K267" s="303"/>
      <c r="L267" s="303"/>
      <c r="M267" s="303"/>
      <c r="N267" s="303"/>
      <c r="O267" s="303"/>
      <c r="P267" s="303"/>
      <c r="Q267" s="303"/>
      <c r="R267" s="303"/>
      <c r="S267" s="303"/>
      <c r="T267" s="303"/>
      <c r="U267" s="303"/>
      <c r="V267" s="303"/>
    </row>
    <row r="268" spans="10:22" ht="11.4">
      <c r="J268" s="303"/>
      <c r="K268" s="303"/>
      <c r="L268" s="303"/>
      <c r="M268" s="303"/>
      <c r="N268" s="303"/>
      <c r="O268" s="303"/>
      <c r="P268" s="303"/>
      <c r="Q268" s="303"/>
      <c r="R268" s="303"/>
      <c r="S268" s="303"/>
      <c r="T268" s="303"/>
      <c r="U268" s="303"/>
      <c r="V268" s="303"/>
    </row>
    <row r="269" spans="10:22" ht="11.4">
      <c r="J269" s="303"/>
      <c r="K269" s="303"/>
      <c r="L269" s="303"/>
      <c r="M269" s="303"/>
      <c r="N269" s="303"/>
      <c r="O269" s="303"/>
      <c r="P269" s="303"/>
      <c r="Q269" s="303"/>
      <c r="R269" s="303"/>
      <c r="S269" s="303"/>
      <c r="T269" s="303"/>
      <c r="U269" s="303"/>
      <c r="V269" s="303"/>
    </row>
    <row r="270" spans="10:22" ht="11.4">
      <c r="J270" s="303"/>
      <c r="K270" s="303"/>
      <c r="L270" s="303"/>
      <c r="M270" s="303"/>
      <c r="N270" s="303"/>
      <c r="O270" s="303"/>
      <c r="P270" s="303"/>
      <c r="Q270" s="303"/>
      <c r="R270" s="303"/>
      <c r="S270" s="303"/>
      <c r="T270" s="303"/>
      <c r="U270" s="303"/>
      <c r="V270" s="303"/>
    </row>
    <row r="271" spans="10:22" ht="11.4">
      <c r="J271" s="303"/>
      <c r="K271" s="303"/>
      <c r="L271" s="303"/>
      <c r="M271" s="303"/>
      <c r="N271" s="303"/>
      <c r="O271" s="303"/>
      <c r="P271" s="303"/>
      <c r="Q271" s="303"/>
      <c r="R271" s="303"/>
      <c r="S271" s="303"/>
      <c r="T271" s="303"/>
      <c r="U271" s="303"/>
      <c r="V271" s="303"/>
    </row>
  </sheetData>
  <sheetProtection sheet="1" formatCells="0" formatColumns="0" formatRows="0"/>
  <mergeCells count="18">
    <mergeCell ref="K5:K7"/>
    <mergeCell ref="A27:I27"/>
    <mergeCell ref="B20:B21"/>
    <mergeCell ref="D5:E5"/>
    <mergeCell ref="A17:B19"/>
    <mergeCell ref="A11:A12"/>
    <mergeCell ref="A14:B16"/>
    <mergeCell ref="E7:G7"/>
    <mergeCell ref="E15:I24"/>
    <mergeCell ref="C20:C21"/>
    <mergeCell ref="D20:D21"/>
    <mergeCell ref="G3:I3"/>
    <mergeCell ref="B3:D3"/>
    <mergeCell ref="D4:I4"/>
    <mergeCell ref="E6:G6"/>
    <mergeCell ref="F5:H5"/>
    <mergeCell ref="I5:I7"/>
    <mergeCell ref="B5:C5"/>
  </mergeCells>
  <dataValidations count="1">
    <dataValidation type="decimal" operator="greaterThanOrEqual" allowBlank="1" showInputMessage="1" showErrorMessage="1" errorTitle="Error" error="Value must be a number." sqref="B12:D12" xr:uid="{00000000-0002-0000-0B00-000000000000}">
      <formula1>0</formula1>
    </dataValidation>
  </dataValidations>
  <hyperlinks>
    <hyperlink ref="A9" location="Summ_Page1_StudentCount" display="1.  Student Count" xr:uid="{00000000-0004-0000-0B00-000000000000}"/>
    <hyperlink ref="A7" location="Summ_Page1_StudentCount" display="Instructions" xr:uid="{00000000-0004-0000-0B00-000001000000}"/>
  </hyperlinks>
  <printOptions horizontalCentered="1"/>
  <pageMargins left="0.25" right="0.25" top="0.25" bottom="0.25" header="0" footer="0.15"/>
  <pageSetup scale="83" orientation="portrait" r:id="rId1"/>
  <headerFooter alignWithMargins="0">
    <oddFooter>&amp;L&amp;"Times New Roman,Bold"&amp;9Rev. 5/26&amp;K000000 Arizona Department of Education and Auditor General&amp;C&amp;"Times New Roman,Regular"&amp;9&amp;D  &amp;T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pageSetUpPr fitToPage="1"/>
  </sheetPr>
  <dimension ref="A1:U55"/>
  <sheetViews>
    <sheetView showGridLines="0" topLeftCell="A7" zoomScaleNormal="100" workbookViewId="0">
      <selection activeCell="N32" sqref="N32"/>
    </sheetView>
  </sheetViews>
  <sheetFormatPr defaultColWidth="5.81640625" defaultRowHeight="10.199999999999999"/>
  <cols>
    <col min="1" max="1" width="1.81640625" style="652" customWidth="1"/>
    <col min="2" max="2" width="14" style="652" customWidth="1"/>
    <col min="3" max="3" width="10.54296875" style="652" customWidth="1"/>
    <col min="4" max="4" width="10.81640625" style="652" customWidth="1"/>
    <col min="5" max="6" width="13" style="652" customWidth="1"/>
    <col min="7" max="7" width="6" style="652" customWidth="1"/>
    <col min="8" max="8" width="5" style="652" customWidth="1"/>
    <col min="9" max="9" width="4.81640625" style="652" customWidth="1"/>
    <col min="10" max="10" width="4" style="652" customWidth="1"/>
    <col min="11" max="11" width="5.81640625" style="652" customWidth="1"/>
    <col min="12" max="12" width="25.54296875" style="652" customWidth="1"/>
    <col min="13" max="13" width="8" style="652" customWidth="1"/>
    <col min="14" max="14" width="8.453125" style="652" customWidth="1"/>
    <col min="15" max="20" width="5.81640625" style="652" customWidth="1"/>
    <col min="21" max="16384" width="5.81640625" style="652"/>
  </cols>
  <sheetData>
    <row r="1" spans="1:21" ht="12.75" customHeight="1">
      <c r="A1" s="1763" t="str">
        <f>IF(OR(Version="Proposed",Version=""),"Summary of School District Proposed Expenditure Budget (Concl'd)",IF(Version="Adopted","Summary of School District Adopted Expenditure Budget (Concl'd)","Summary of School District Revised Expenditure Budget (Concl'd)"))</f>
        <v>Summary of School District Proposed Expenditure Budget (Concl'd)</v>
      </c>
      <c r="B1" s="1763"/>
      <c r="C1" s="1763"/>
      <c r="D1" s="1763"/>
      <c r="E1" s="1763"/>
      <c r="F1" s="1763"/>
      <c r="G1" s="651"/>
      <c r="H1" s="1142" t="s">
        <v>57</v>
      </c>
      <c r="I1" s="1761" t="str">
        <f>Cover!S1</f>
        <v>020364000</v>
      </c>
      <c r="J1" s="1762"/>
      <c r="K1" s="577"/>
      <c r="L1" s="1759" t="s">
        <v>1131</v>
      </c>
      <c r="M1" s="1759"/>
      <c r="N1" s="1759"/>
      <c r="O1" s="577"/>
      <c r="P1" s="577"/>
      <c r="Q1" s="577"/>
      <c r="R1" s="577"/>
      <c r="S1" s="577"/>
      <c r="T1" s="577"/>
      <c r="U1" s="577"/>
    </row>
    <row r="2" spans="1:21" ht="12" customHeight="1">
      <c r="A2" s="1769" t="s">
        <v>338</v>
      </c>
      <c r="B2" s="1770"/>
      <c r="C2" s="1770"/>
      <c r="D2" s="1770"/>
      <c r="E2" s="1770"/>
      <c r="F2" s="1770"/>
      <c r="G2" s="651"/>
      <c r="H2" s="1142" t="s">
        <v>16</v>
      </c>
      <c r="I2" s="1764" t="str">
        <f>Cover!C8</f>
        <v>Proposed</v>
      </c>
      <c r="J2" s="1765"/>
      <c r="K2" s="649"/>
      <c r="L2" s="1759"/>
      <c r="M2" s="1759"/>
      <c r="N2" s="1759"/>
      <c r="O2" s="577"/>
      <c r="P2" s="577"/>
      <c r="Q2" s="577"/>
      <c r="R2" s="577"/>
      <c r="S2" s="577"/>
      <c r="T2" s="577"/>
      <c r="U2" s="577"/>
    </row>
    <row r="3" spans="1:21" ht="9.75" customHeight="1">
      <c r="A3" s="618"/>
      <c r="B3" s="653"/>
      <c r="C3" s="1766" t="s">
        <v>1040</v>
      </c>
      <c r="D3" s="1771"/>
      <c r="E3" s="654" t="s">
        <v>339</v>
      </c>
      <c r="F3" s="655" t="s">
        <v>340</v>
      </c>
      <c r="G3" s="651"/>
      <c r="H3" s="651"/>
      <c r="I3" s="651"/>
      <c r="J3" s="584"/>
      <c r="K3" s="656"/>
      <c r="L3" s="1760"/>
      <c r="M3" s="1760"/>
      <c r="N3" s="1760"/>
      <c r="O3" s="577"/>
      <c r="P3" s="577"/>
      <c r="Q3" s="577"/>
      <c r="R3" s="577"/>
      <c r="S3" s="577"/>
      <c r="T3" s="577"/>
      <c r="U3" s="577"/>
    </row>
    <row r="4" spans="1:21" ht="9" customHeight="1">
      <c r="A4" s="1780" t="s">
        <v>341</v>
      </c>
      <c r="B4" s="1781"/>
      <c r="C4" s="654"/>
      <c r="D4" s="624"/>
      <c r="E4" s="657" t="s">
        <v>334</v>
      </c>
      <c r="F4" s="658" t="s">
        <v>334</v>
      </c>
      <c r="G4" s="1768" t="str">
        <f>IF((F001TotalExp&gt;0)*AND(OR(TotalFTECertSubtotal=0,TotalFTEClassSubtotal=0)),"Incomplete: Please complete the Certified and Classified sections of the Proposed Staffing Table below."," ")</f>
        <v xml:space="preserve"> </v>
      </c>
      <c r="H4" s="1768"/>
      <c r="I4" s="1768"/>
      <c r="J4" s="1768"/>
      <c r="K4" s="656"/>
      <c r="L4" s="659" t="s">
        <v>1130</v>
      </c>
      <c r="M4" s="660" t="s">
        <v>129</v>
      </c>
      <c r="N4" s="661" t="s">
        <v>130</v>
      </c>
      <c r="O4" s="577"/>
      <c r="P4" s="577"/>
      <c r="Q4" s="577"/>
      <c r="R4" s="577"/>
      <c r="S4" s="577"/>
      <c r="T4" s="577"/>
      <c r="U4" s="577"/>
    </row>
    <row r="5" spans="1:21" ht="10.5" customHeight="1">
      <c r="A5" s="662"/>
      <c r="B5" s="663"/>
      <c r="C5" s="664" t="s">
        <v>129</v>
      </c>
      <c r="D5" s="665" t="s">
        <v>130</v>
      </c>
      <c r="E5" s="665" t="s">
        <v>1133</v>
      </c>
      <c r="F5" s="666" t="s">
        <v>1127</v>
      </c>
      <c r="G5" s="1768"/>
      <c r="H5" s="1768"/>
      <c r="I5" s="1768"/>
      <c r="J5" s="1768"/>
      <c r="K5" s="583"/>
      <c r="L5" s="667" t="s">
        <v>206</v>
      </c>
      <c r="M5" s="668">
        <f>F050CurrFY</f>
        <v>0</v>
      </c>
      <c r="N5" s="669">
        <f>F050BudgFY</f>
        <v>0</v>
      </c>
      <c r="O5" s="577"/>
      <c r="P5" s="577"/>
      <c r="Q5" s="577"/>
      <c r="R5" s="577"/>
      <c r="S5" s="577"/>
      <c r="T5" s="577"/>
      <c r="U5" s="577"/>
    </row>
    <row r="6" spans="1:21" ht="10.5" customHeight="1">
      <c r="A6" s="631" t="s">
        <v>342</v>
      </c>
      <c r="B6" s="670"/>
      <c r="C6" s="631">
        <f>F001TotExpCurrFY</f>
        <v>1402946</v>
      </c>
      <c r="D6" s="631">
        <f>F001TotalExp</f>
        <v>1424593</v>
      </c>
      <c r="E6" s="671">
        <f t="shared" ref="E6:E14" si="0">D6-C6</f>
        <v>21647</v>
      </c>
      <c r="F6" s="672">
        <f t="shared" ref="F6:F21" si="1">IF(C6=D6,0,IF(C6&gt;0,E6/C6,""))</f>
        <v>1.4999999999999999E-2</v>
      </c>
      <c r="G6" s="1768"/>
      <c r="H6" s="1768"/>
      <c r="I6" s="1768"/>
      <c r="J6" s="1768"/>
      <c r="K6" s="583"/>
      <c r="L6" s="667" t="s">
        <v>212</v>
      </c>
      <c r="M6" s="668">
        <f>F515CurrFY</f>
        <v>0</v>
      </c>
      <c r="N6" s="669">
        <f>F515BudgFY</f>
        <v>0</v>
      </c>
      <c r="O6" s="577"/>
      <c r="P6" s="577"/>
      <c r="Q6" s="577"/>
      <c r="R6" s="577"/>
      <c r="S6" s="577"/>
      <c r="T6" s="577"/>
      <c r="U6" s="577"/>
    </row>
    <row r="7" spans="1:21" ht="10.5" customHeight="1">
      <c r="A7" s="673" t="s">
        <v>343</v>
      </c>
      <c r="B7" s="670"/>
      <c r="C7" s="674">
        <f>F020TotCurrFY</f>
        <v>28604</v>
      </c>
      <c r="D7" s="674">
        <f>F020TotBudgFY</f>
        <v>22981</v>
      </c>
      <c r="E7" s="671">
        <f t="shared" si="0"/>
        <v>-5623</v>
      </c>
      <c r="F7" s="672">
        <f t="shared" si="1"/>
        <v>-0.19700000000000001</v>
      </c>
      <c r="G7" s="1768"/>
      <c r="H7" s="1768"/>
      <c r="I7" s="1768"/>
      <c r="J7" s="1768"/>
      <c r="K7" s="583"/>
      <c r="L7" s="667" t="s">
        <v>213</v>
      </c>
      <c r="M7" s="668">
        <f>F520CurrFY</f>
        <v>0</v>
      </c>
      <c r="N7" s="669">
        <f>F520BudgFY</f>
        <v>0</v>
      </c>
      <c r="O7" s="577"/>
      <c r="P7" s="577"/>
      <c r="Q7" s="577"/>
      <c r="R7" s="577"/>
      <c r="S7" s="577"/>
      <c r="T7" s="577"/>
      <c r="U7" s="577"/>
    </row>
    <row r="8" spans="1:21" ht="10.5" customHeight="1">
      <c r="A8" s="675" t="s">
        <v>344</v>
      </c>
      <c r="B8" s="676"/>
      <c r="C8" s="674">
        <f>F071CurrFY</f>
        <v>0</v>
      </c>
      <c r="D8" s="640">
        <f>F071BudgFY</f>
        <v>0</v>
      </c>
      <c r="E8" s="671">
        <f t="shared" si="0"/>
        <v>0</v>
      </c>
      <c r="F8" s="672">
        <f t="shared" si="1"/>
        <v>0</v>
      </c>
      <c r="G8" s="1768"/>
      <c r="H8" s="1768"/>
      <c r="I8" s="1768"/>
      <c r="J8" s="1768"/>
      <c r="K8" s="583"/>
      <c r="L8" s="667" t="s">
        <v>215</v>
      </c>
      <c r="M8" s="668">
        <f>F526CurrFY</f>
        <v>10000</v>
      </c>
      <c r="N8" s="669">
        <f>F526BudgFY</f>
        <v>7290</v>
      </c>
      <c r="O8" s="577"/>
      <c r="P8" s="577"/>
      <c r="Q8" s="577"/>
      <c r="R8" s="577"/>
      <c r="S8" s="577"/>
      <c r="T8" s="577"/>
      <c r="U8" s="577"/>
    </row>
    <row r="9" spans="1:21" ht="12" customHeight="1">
      <c r="A9" s="673" t="s">
        <v>345</v>
      </c>
      <c r="B9" s="670"/>
      <c r="C9" s="674">
        <f>F072CurrFY</f>
        <v>0</v>
      </c>
      <c r="D9" s="640">
        <f>F072BudgFY</f>
        <v>0</v>
      </c>
      <c r="E9" s="677">
        <f t="shared" si="0"/>
        <v>0</v>
      </c>
      <c r="F9" s="678">
        <f t="shared" si="1"/>
        <v>0</v>
      </c>
      <c r="G9" s="1768"/>
      <c r="H9" s="1768"/>
      <c r="I9" s="1768"/>
      <c r="J9" s="1768"/>
      <c r="K9" s="679"/>
      <c r="L9" s="667" t="s">
        <v>216</v>
      </c>
      <c r="M9" s="668">
        <f>F530CurrFY</f>
        <v>11623</v>
      </c>
      <c r="N9" s="669">
        <f>F530BudgFY</f>
        <v>9600</v>
      </c>
      <c r="O9" s="577"/>
      <c r="P9" s="577"/>
      <c r="Q9" s="577"/>
      <c r="R9" s="577"/>
      <c r="S9" s="577"/>
      <c r="T9" s="577"/>
      <c r="U9" s="577"/>
    </row>
    <row r="10" spans="1:21" ht="12" customHeight="1">
      <c r="A10" s="680" t="s">
        <v>346</v>
      </c>
      <c r="B10" s="681"/>
      <c r="C10" s="610">
        <f>F010TotalExpPY</f>
        <v>195260</v>
      </c>
      <c r="D10" s="610">
        <f>F010TotalExp</f>
        <v>254797</v>
      </c>
      <c r="E10" s="677">
        <f>D10-C10</f>
        <v>59537</v>
      </c>
      <c r="F10" s="678">
        <f t="shared" si="1"/>
        <v>0.30499999999999999</v>
      </c>
      <c r="G10" s="1768"/>
      <c r="H10" s="1768"/>
      <c r="I10" s="1768"/>
      <c r="J10" s="1768"/>
      <c r="K10" s="679"/>
      <c r="L10" s="682" t="s">
        <v>218</v>
      </c>
      <c r="M10" s="668">
        <f>F535CurrFY</f>
        <v>0</v>
      </c>
      <c r="N10" s="669">
        <f>F535BudgFY</f>
        <v>0</v>
      </c>
      <c r="O10" s="577"/>
      <c r="P10" s="577"/>
      <c r="Q10" s="577"/>
      <c r="R10" s="577"/>
      <c r="S10" s="577"/>
      <c r="T10" s="577"/>
      <c r="U10" s="577"/>
    </row>
    <row r="11" spans="1:21" ht="12" customHeight="1">
      <c r="A11" s="683" t="s">
        <v>347</v>
      </c>
      <c r="B11" s="684"/>
      <c r="C11" s="635">
        <f>TotFedProjFundCurrFY</f>
        <v>138968</v>
      </c>
      <c r="D11" s="635">
        <f>TotFedProjFundBudgFY</f>
        <v>103002</v>
      </c>
      <c r="E11" s="635">
        <f t="shared" si="0"/>
        <v>-35966</v>
      </c>
      <c r="F11" s="685">
        <f t="shared" si="1"/>
        <v>-0.25900000000000001</v>
      </c>
      <c r="G11" s="1768"/>
      <c r="H11" s="1768"/>
      <c r="I11" s="1768"/>
      <c r="J11" s="1768"/>
      <c r="K11" s="679"/>
      <c r="L11" s="686" t="s">
        <v>219</v>
      </c>
      <c r="M11" s="668">
        <f>F540CurrFY</f>
        <v>100</v>
      </c>
      <c r="N11" s="669">
        <f>F540BudgFY</f>
        <v>200</v>
      </c>
      <c r="O11" s="577"/>
      <c r="P11" s="577"/>
      <c r="Q11" s="577"/>
      <c r="R11" s="577"/>
      <c r="S11" s="577"/>
      <c r="T11" s="577"/>
      <c r="U11" s="577"/>
    </row>
    <row r="12" spans="1:21" ht="12" customHeight="1">
      <c r="A12" s="687" t="s">
        <v>348</v>
      </c>
      <c r="B12" s="684"/>
      <c r="C12" s="634">
        <f>TotStateProjFundCurrFY</f>
        <v>0</v>
      </c>
      <c r="D12" s="634">
        <f>TotStateProjFundBudgFY</f>
        <v>0</v>
      </c>
      <c r="E12" s="634">
        <f t="shared" si="0"/>
        <v>0</v>
      </c>
      <c r="F12" s="685">
        <f t="shared" si="1"/>
        <v>0</v>
      </c>
      <c r="G12" s="1768"/>
      <c r="H12" s="1768"/>
      <c r="I12" s="1768"/>
      <c r="J12" s="1768"/>
      <c r="K12" s="679"/>
      <c r="L12" s="686" t="s">
        <v>221</v>
      </c>
      <c r="M12" s="668">
        <f>F545CurrFY</f>
        <v>0</v>
      </c>
      <c r="N12" s="669">
        <f>F545BudgFY</f>
        <v>0</v>
      </c>
      <c r="O12" s="577"/>
      <c r="P12" s="577"/>
      <c r="Q12" s="577"/>
      <c r="R12" s="577"/>
      <c r="S12" s="577"/>
      <c r="T12" s="577"/>
      <c r="U12" s="577"/>
    </row>
    <row r="13" spans="1:21" ht="12" customHeight="1">
      <c r="A13" s="683" t="s">
        <v>180</v>
      </c>
      <c r="B13" s="684"/>
      <c r="C13" s="634">
        <f>F610TotalCurrFY</f>
        <v>63478</v>
      </c>
      <c r="D13" s="634">
        <f>F610TotalBudgFY</f>
        <v>71500</v>
      </c>
      <c r="E13" s="634">
        <f t="shared" si="0"/>
        <v>8022</v>
      </c>
      <c r="F13" s="685">
        <f t="shared" si="1"/>
        <v>0.126</v>
      </c>
      <c r="G13" s="1768"/>
      <c r="H13" s="1768"/>
      <c r="I13" s="1768"/>
      <c r="J13" s="1768"/>
      <c r="K13" s="679"/>
      <c r="L13" s="667" t="s">
        <v>223</v>
      </c>
      <c r="M13" s="668">
        <f>F550CurrFY</f>
        <v>22273</v>
      </c>
      <c r="N13" s="669">
        <f>F550BudgFY</f>
        <v>22274</v>
      </c>
      <c r="O13" s="577"/>
      <c r="P13" s="577"/>
      <c r="Q13" s="577"/>
      <c r="R13" s="577"/>
      <c r="S13" s="577"/>
      <c r="T13" s="577"/>
      <c r="U13" s="577"/>
    </row>
    <row r="14" spans="1:21" ht="12" customHeight="1">
      <c r="A14" s="683" t="s">
        <v>193</v>
      </c>
      <c r="B14" s="684"/>
      <c r="C14" s="634">
        <f>F695TotalCurrFY</f>
        <v>0</v>
      </c>
      <c r="D14" s="634">
        <f>F695TotalBudgFY</f>
        <v>0</v>
      </c>
      <c r="E14" s="634">
        <f t="shared" si="0"/>
        <v>0</v>
      </c>
      <c r="F14" s="685">
        <f t="shared" si="1"/>
        <v>0</v>
      </c>
      <c r="G14" s="1768"/>
      <c r="H14" s="1768"/>
      <c r="I14" s="1768"/>
      <c r="J14" s="1768"/>
      <c r="K14" s="679"/>
      <c r="L14" s="667" t="s">
        <v>225</v>
      </c>
      <c r="M14" s="668">
        <f>F555CurrFY</f>
        <v>0</v>
      </c>
      <c r="N14" s="669">
        <f>F555BudgFY</f>
        <v>0</v>
      </c>
      <c r="O14" s="577"/>
      <c r="P14" s="577"/>
      <c r="Q14" s="577"/>
      <c r="R14" s="577"/>
      <c r="S14" s="577"/>
      <c r="T14" s="577"/>
      <c r="U14" s="577"/>
    </row>
    <row r="15" spans="1:21" ht="12" customHeight="1">
      <c r="A15" s="683" t="s">
        <v>194</v>
      </c>
      <c r="B15" s="684"/>
      <c r="C15" s="634">
        <f>F620TotalCurrFY</f>
        <v>45097</v>
      </c>
      <c r="D15" s="634">
        <f>F620TotalBudgFY</f>
        <v>45097</v>
      </c>
      <c r="E15" s="634">
        <f t="shared" ref="E15:E21" si="2">D15-C15</f>
        <v>0</v>
      </c>
      <c r="F15" s="685">
        <f t="shared" si="1"/>
        <v>0</v>
      </c>
      <c r="G15" s="583"/>
      <c r="H15" s="583"/>
      <c r="I15" s="583"/>
      <c r="J15" s="583"/>
      <c r="K15" s="679"/>
      <c r="L15" s="667" t="s">
        <v>227</v>
      </c>
      <c r="M15" s="668">
        <f>F565CurrFY</f>
        <v>0</v>
      </c>
      <c r="N15" s="669">
        <f>F565BudgFY</f>
        <v>0</v>
      </c>
      <c r="O15" s="577"/>
      <c r="P15" s="577"/>
      <c r="Q15" s="577"/>
      <c r="R15" s="577"/>
      <c r="S15" s="577"/>
      <c r="T15" s="577"/>
      <c r="U15" s="577"/>
    </row>
    <row r="16" spans="1:21" ht="12" customHeight="1">
      <c r="A16" s="683" t="s">
        <v>349</v>
      </c>
      <c r="B16" s="684"/>
      <c r="C16" s="634">
        <f>F700CurrFY</f>
        <v>0</v>
      </c>
      <c r="D16" s="634">
        <f>F700BudgFY</f>
        <v>0</v>
      </c>
      <c r="E16" s="634">
        <f t="shared" si="2"/>
        <v>0</v>
      </c>
      <c r="F16" s="685">
        <f t="shared" si="1"/>
        <v>0</v>
      </c>
      <c r="G16" s="1768" t="str">
        <f>IF((F001P200Subtotal&gt;0)*AND(OR((SUM(TotalFTESpecEdTeacher+TotalFTESpecEdStaff=0,(SUM(SPEDTeacher+SPEDStaff=0)))))),"Incomplete: Please complete the Special Education section of the Proposed Staffing Table below."," ")</f>
        <v xml:space="preserve"> </v>
      </c>
      <c r="H16" s="1768"/>
      <c r="I16" s="1768"/>
      <c r="J16" s="1768"/>
      <c r="K16" s="583"/>
      <c r="L16" s="667" t="s">
        <v>229</v>
      </c>
      <c r="M16" s="668">
        <f>F570CurrFY</f>
        <v>0</v>
      </c>
      <c r="N16" s="669">
        <f>F570BudgFY</f>
        <v>0</v>
      </c>
      <c r="O16" s="577"/>
      <c r="P16" s="577"/>
      <c r="Q16" s="577"/>
      <c r="R16" s="577"/>
      <c r="S16" s="577"/>
      <c r="T16" s="577"/>
      <c r="U16" s="577"/>
    </row>
    <row r="17" spans="1:21" ht="12" customHeight="1">
      <c r="A17" s="285" t="s">
        <v>350</v>
      </c>
      <c r="B17" s="688"/>
      <c r="C17" s="640">
        <f>F500CurrFY</f>
        <v>4384</v>
      </c>
      <c r="D17" s="634">
        <f>F500BudgFY</f>
        <v>7721</v>
      </c>
      <c r="E17" s="634">
        <f t="shared" si="2"/>
        <v>3337</v>
      </c>
      <c r="F17" s="685">
        <f t="shared" si="1"/>
        <v>0.76100000000000001</v>
      </c>
      <c r="G17" s="1768"/>
      <c r="H17" s="1768"/>
      <c r="I17" s="1768"/>
      <c r="J17" s="1768"/>
      <c r="K17" s="679"/>
      <c r="L17" s="667" t="s">
        <v>231</v>
      </c>
      <c r="M17" s="668">
        <f>F575CurrFY</f>
        <v>0</v>
      </c>
      <c r="N17" s="669">
        <f>F575BudgFY</f>
        <v>0</v>
      </c>
      <c r="O17" s="577"/>
      <c r="P17" s="577"/>
      <c r="Q17" s="577"/>
      <c r="R17" s="577"/>
      <c r="S17" s="577"/>
      <c r="T17" s="577"/>
      <c r="U17" s="577"/>
    </row>
    <row r="18" spans="1:21" ht="12" customHeight="1">
      <c r="A18" s="683" t="s">
        <v>351</v>
      </c>
      <c r="B18" s="684"/>
      <c r="C18" s="634">
        <f>F525CurrFY</f>
        <v>885</v>
      </c>
      <c r="D18" s="634">
        <f>F525BudgFY</f>
        <v>887</v>
      </c>
      <c r="E18" s="634">
        <f t="shared" si="2"/>
        <v>2</v>
      </c>
      <c r="F18" s="685">
        <f t="shared" si="1"/>
        <v>2E-3</v>
      </c>
      <c r="G18" s="1768"/>
      <c r="H18" s="1768"/>
      <c r="I18" s="1768"/>
      <c r="J18" s="1768"/>
      <c r="K18" s="679"/>
      <c r="L18" s="667" t="s">
        <v>233</v>
      </c>
      <c r="M18" s="668">
        <f>F580CurrFY</f>
        <v>0</v>
      </c>
      <c r="N18" s="669">
        <f>F580BudgFY</f>
        <v>0</v>
      </c>
      <c r="O18" s="577"/>
      <c r="P18" s="577"/>
      <c r="Q18" s="577"/>
      <c r="R18" s="577"/>
      <c r="S18" s="577"/>
      <c r="T18" s="577"/>
      <c r="U18" s="577"/>
    </row>
    <row r="19" spans="1:21" ht="12" customHeight="1">
      <c r="A19" s="683" t="s">
        <v>192</v>
      </c>
      <c r="B19" s="684"/>
      <c r="C19" s="634">
        <f>F630TotalCurrFY</f>
        <v>0</v>
      </c>
      <c r="D19" s="634">
        <f>F630TotalBudgFY</f>
        <v>0</v>
      </c>
      <c r="E19" s="634">
        <f t="shared" si="2"/>
        <v>0</v>
      </c>
      <c r="F19" s="685">
        <f t="shared" si="1"/>
        <v>0</v>
      </c>
      <c r="G19" s="1768"/>
      <c r="H19" s="1768"/>
      <c r="I19" s="1768"/>
      <c r="J19" s="1768"/>
      <c r="K19" s="679"/>
      <c r="L19" s="667" t="s">
        <v>235</v>
      </c>
      <c r="M19" s="668">
        <f>F585CurrFY</f>
        <v>0</v>
      </c>
      <c r="N19" s="669">
        <f>F585BudgFY</f>
        <v>0</v>
      </c>
      <c r="O19" s="577"/>
      <c r="P19" s="577"/>
      <c r="Q19" s="577"/>
      <c r="R19" s="577"/>
      <c r="S19" s="577"/>
      <c r="T19" s="577"/>
      <c r="U19" s="577"/>
    </row>
    <row r="20" spans="1:21" ht="12" customHeight="1">
      <c r="A20" s="683" t="s">
        <v>352</v>
      </c>
      <c r="B20" s="684"/>
      <c r="C20" s="634">
        <f>F510CurrFY</f>
        <v>70000</v>
      </c>
      <c r="D20" s="634">
        <f>F510BudgFY</f>
        <v>68480</v>
      </c>
      <c r="E20" s="634">
        <f t="shared" si="2"/>
        <v>-1520</v>
      </c>
      <c r="F20" s="685">
        <f t="shared" si="1"/>
        <v>-2.1999999999999999E-2</v>
      </c>
      <c r="G20" s="1768"/>
      <c r="H20" s="1768"/>
      <c r="I20" s="1768"/>
      <c r="J20" s="1768"/>
      <c r="K20" s="679"/>
      <c r="L20" s="686" t="s">
        <v>236</v>
      </c>
      <c r="M20" s="668">
        <f>F590CurrFY</f>
        <v>570</v>
      </c>
      <c r="N20" s="669">
        <f>F590BudgFY</f>
        <v>570</v>
      </c>
      <c r="O20" s="577"/>
      <c r="P20" s="577"/>
      <c r="Q20" s="577"/>
      <c r="R20" s="577"/>
      <c r="S20" s="577"/>
      <c r="T20" s="577"/>
      <c r="U20" s="577"/>
    </row>
    <row r="21" spans="1:21" ht="12" customHeight="1">
      <c r="A21" s="639" t="s">
        <v>83</v>
      </c>
      <c r="B21" s="689"/>
      <c r="C21" s="640">
        <f>M37</f>
        <v>67489</v>
      </c>
      <c r="D21" s="640">
        <f>N37</f>
        <v>43934</v>
      </c>
      <c r="E21" s="640">
        <f t="shared" si="2"/>
        <v>-23555</v>
      </c>
      <c r="F21" s="690">
        <f t="shared" si="1"/>
        <v>-0.34899999999999998</v>
      </c>
      <c r="G21" s="1768"/>
      <c r="H21" s="1768"/>
      <c r="I21" s="1768"/>
      <c r="J21" s="1768"/>
      <c r="K21" s="679"/>
      <c r="L21" s="667" t="s">
        <v>237</v>
      </c>
      <c r="M21" s="668">
        <f>F595CurrFY</f>
        <v>0</v>
      </c>
      <c r="N21" s="669">
        <f>F595BudgFY</f>
        <v>0</v>
      </c>
      <c r="O21" s="577"/>
      <c r="P21" s="577"/>
      <c r="Q21" s="577"/>
      <c r="R21" s="577"/>
      <c r="S21" s="577"/>
      <c r="T21" s="577"/>
      <c r="U21" s="577"/>
    </row>
    <row r="22" spans="1:21" ht="12" customHeight="1">
      <c r="A22" s="577"/>
      <c r="B22" s="577"/>
      <c r="C22" s="577"/>
      <c r="D22" s="577"/>
      <c r="E22" s="577"/>
      <c r="F22" s="577"/>
      <c r="G22" s="1768"/>
      <c r="H22" s="1768"/>
      <c r="I22" s="1768"/>
      <c r="J22" s="1768"/>
      <c r="K22" s="679"/>
      <c r="L22" s="667" t="s">
        <v>238</v>
      </c>
      <c r="M22" s="668">
        <f>F596CurrFY</f>
        <v>0</v>
      </c>
      <c r="N22" s="669">
        <f>F596BudgFY</f>
        <v>0</v>
      </c>
      <c r="O22" s="577"/>
      <c r="P22" s="577"/>
      <c r="Q22" s="577"/>
      <c r="R22" s="577"/>
      <c r="S22" s="577"/>
      <c r="T22" s="577"/>
      <c r="U22" s="577"/>
    </row>
    <row r="23" spans="1:21" ht="14.25" customHeight="1">
      <c r="A23" s="1774" t="s">
        <v>1132</v>
      </c>
      <c r="B23" s="1775"/>
      <c r="C23" s="1775"/>
      <c r="D23" s="1775"/>
      <c r="E23" s="1776"/>
      <c r="F23" s="691"/>
      <c r="G23" s="1768"/>
      <c r="H23" s="1768"/>
      <c r="I23" s="1768"/>
      <c r="J23" s="1768"/>
      <c r="K23" s="679"/>
      <c r="L23" s="682" t="s">
        <v>240</v>
      </c>
      <c r="M23" s="668">
        <f>F597CurrFY</f>
        <v>0</v>
      </c>
      <c r="N23" s="669">
        <f>F597BudgFY</f>
        <v>0</v>
      </c>
      <c r="O23" s="577"/>
      <c r="P23" s="577"/>
      <c r="Q23" s="577"/>
      <c r="R23" s="577"/>
      <c r="S23" s="577"/>
      <c r="T23" s="577"/>
      <c r="U23" s="577"/>
    </row>
    <row r="24" spans="1:21" ht="12" customHeight="1" thickBot="1">
      <c r="A24" s="1772" t="s">
        <v>353</v>
      </c>
      <c r="B24" s="1773"/>
      <c r="C24" s="1773"/>
      <c r="D24" s="665" t="s">
        <v>129</v>
      </c>
      <c r="E24" s="665" t="s">
        <v>130</v>
      </c>
      <c r="F24" s="577"/>
      <c r="G24" s="1768"/>
      <c r="H24" s="1768"/>
      <c r="I24" s="1768"/>
      <c r="J24" s="1768"/>
      <c r="K24" s="583"/>
      <c r="L24" s="686" t="s">
        <v>241</v>
      </c>
      <c r="M24" s="668">
        <f>F639CurrFY</f>
        <v>0</v>
      </c>
      <c r="N24" s="669">
        <f>F639BudgFY</f>
        <v>0</v>
      </c>
      <c r="O24" s="577"/>
      <c r="P24" s="577"/>
      <c r="Q24" s="577"/>
      <c r="R24" s="577"/>
      <c r="S24" s="577"/>
      <c r="T24" s="577"/>
      <c r="U24" s="577"/>
    </row>
    <row r="25" spans="1:21" ht="12" customHeight="1">
      <c r="A25" s="692" t="s">
        <v>894</v>
      </c>
      <c r="B25" s="693"/>
      <c r="C25" s="693"/>
      <c r="D25" s="694">
        <f>F001P200PYDisabilityTot</f>
        <v>48876</v>
      </c>
      <c r="E25" s="694">
        <f>F001P200Subtotal</f>
        <v>61643</v>
      </c>
      <c r="F25" s="577"/>
      <c r="G25" s="1768"/>
      <c r="H25" s="1768"/>
      <c r="I25" s="1768"/>
      <c r="J25" s="1768"/>
      <c r="K25" s="583"/>
      <c r="L25" s="686" t="s">
        <v>243</v>
      </c>
      <c r="M25" s="668">
        <f>F650CurrFY</f>
        <v>0</v>
      </c>
      <c r="N25" s="669">
        <f>F650BudgFY</f>
        <v>0</v>
      </c>
      <c r="O25" s="577"/>
      <c r="P25" s="577"/>
      <c r="Q25" s="577"/>
      <c r="R25" s="577"/>
      <c r="S25" s="577"/>
      <c r="T25" s="577"/>
      <c r="U25" s="577"/>
    </row>
    <row r="26" spans="1:21" ht="11.25" customHeight="1">
      <c r="A26" s="695" t="s">
        <v>982</v>
      </c>
      <c r="B26" s="584"/>
      <c r="C26" s="584"/>
      <c r="D26" s="639">
        <f>SPEDGiftedEdCurrFY</f>
        <v>0</v>
      </c>
      <c r="E26" s="639">
        <f>SPEDGiftedEdBudgFY</f>
        <v>0</v>
      </c>
      <c r="F26" s="577"/>
      <c r="G26" s="696"/>
      <c r="H26" s="584"/>
      <c r="I26" s="584"/>
      <c r="J26" s="584"/>
      <c r="K26" s="583"/>
      <c r="L26" s="686" t="s">
        <v>244</v>
      </c>
      <c r="M26" s="668">
        <f>F660CurrFY</f>
        <v>0</v>
      </c>
      <c r="N26" s="669">
        <f>F660BudgFY</f>
        <v>0</v>
      </c>
      <c r="O26" s="577"/>
      <c r="P26" s="577"/>
      <c r="Q26" s="577"/>
      <c r="R26" s="577"/>
      <c r="S26" s="577"/>
      <c r="T26" s="577"/>
      <c r="U26" s="577"/>
    </row>
    <row r="27" spans="1:21" ht="12" customHeight="1">
      <c r="A27" s="695" t="s">
        <v>983</v>
      </c>
      <c r="B27" s="584"/>
      <c r="C27" s="584"/>
      <c r="D27" s="639">
        <f>SPEDRemedialEdCurrFY</f>
        <v>0</v>
      </c>
      <c r="E27" s="639">
        <f>SPEDRemedialEdBudgFY</f>
        <v>0</v>
      </c>
      <c r="F27" s="577"/>
      <c r="G27" s="577"/>
      <c r="H27" s="577"/>
      <c r="I27" s="577"/>
      <c r="J27" s="577"/>
      <c r="K27" s="583"/>
      <c r="L27" s="686" t="s">
        <v>245</v>
      </c>
      <c r="M27" s="668">
        <f>F665CurrFY</f>
        <v>0</v>
      </c>
      <c r="N27" s="669">
        <f>F665BudgFY</f>
        <v>0</v>
      </c>
      <c r="O27" s="577"/>
      <c r="P27" s="577"/>
      <c r="Q27" s="577"/>
      <c r="R27" s="577"/>
      <c r="S27" s="577"/>
      <c r="T27" s="577"/>
      <c r="U27" s="577"/>
    </row>
    <row r="28" spans="1:21" ht="12" customHeight="1">
      <c r="A28" s="697" t="s">
        <v>984</v>
      </c>
      <c r="B28" s="693"/>
      <c r="C28" s="693"/>
      <c r="D28" s="639">
        <f>SPEDELLIncCostCurrFY</f>
        <v>0</v>
      </c>
      <c r="E28" s="639">
        <f>SPEDELLIncCostBudgFY</f>
        <v>0</v>
      </c>
      <c r="F28" s="577"/>
      <c r="G28" s="577"/>
      <c r="H28" s="577"/>
      <c r="I28" s="577"/>
      <c r="J28" s="577"/>
      <c r="K28" s="583"/>
      <c r="L28" s="686" t="s">
        <v>246</v>
      </c>
      <c r="M28" s="668">
        <f>F686CurrFY</f>
        <v>0</v>
      </c>
      <c r="N28" s="669">
        <f>F686BudgFY</f>
        <v>0</v>
      </c>
      <c r="O28" s="577"/>
      <c r="P28" s="577"/>
      <c r="Q28" s="577"/>
      <c r="R28" s="577"/>
      <c r="S28" s="577"/>
      <c r="T28" s="577"/>
      <c r="U28" s="577"/>
    </row>
    <row r="29" spans="1:21" ht="12" customHeight="1">
      <c r="A29" s="697" t="s">
        <v>985</v>
      </c>
      <c r="B29" s="693"/>
      <c r="C29" s="693"/>
      <c r="D29" s="639">
        <f>SPEDELLCompInstrCurrFY</f>
        <v>0</v>
      </c>
      <c r="E29" s="639">
        <f>SPEDELLCompInstrBudgFY</f>
        <v>0</v>
      </c>
      <c r="F29" s="577"/>
      <c r="G29" s="577"/>
      <c r="H29" s="577"/>
      <c r="I29" s="577"/>
      <c r="J29" s="577"/>
      <c r="K29" s="583"/>
      <c r="L29" s="686" t="s">
        <v>247</v>
      </c>
      <c r="M29" s="698">
        <f>F691CurrFY</f>
        <v>18748</v>
      </c>
      <c r="N29" s="699">
        <f>F691BudgFY</f>
        <v>0</v>
      </c>
      <c r="O29" s="577"/>
      <c r="P29" s="577"/>
      <c r="Q29" s="577"/>
      <c r="R29" s="577"/>
      <c r="S29" s="577"/>
      <c r="T29" s="577"/>
      <c r="U29" s="577"/>
    </row>
    <row r="30" spans="1:21" ht="12" customHeight="1">
      <c r="A30" s="695" t="s">
        <v>986</v>
      </c>
      <c r="B30" s="584"/>
      <c r="C30" s="584"/>
      <c r="D30" s="639">
        <f>SPEDVocTechEdCurrFY</f>
        <v>0</v>
      </c>
      <c r="E30" s="639">
        <f>SPEDVocTechEdBudgFY</f>
        <v>0</v>
      </c>
      <c r="F30" s="577"/>
      <c r="G30" s="577"/>
      <c r="H30" s="577"/>
      <c r="I30" s="577"/>
      <c r="J30" s="577"/>
      <c r="K30" s="577"/>
      <c r="L30" s="686" t="s">
        <v>251</v>
      </c>
      <c r="M30" s="698">
        <f>F720CurrFY</f>
        <v>0</v>
      </c>
      <c r="N30" s="699">
        <f>F720BudgFY</f>
        <v>0</v>
      </c>
      <c r="O30" s="700"/>
      <c r="P30" s="1308"/>
      <c r="Q30" s="1308"/>
      <c r="R30" s="1308"/>
      <c r="S30" s="1308"/>
      <c r="T30" s="1308"/>
      <c r="U30" s="594"/>
    </row>
    <row r="31" spans="1:21" ht="12" customHeight="1">
      <c r="A31" s="695" t="s">
        <v>987</v>
      </c>
      <c r="B31" s="584"/>
      <c r="C31" s="584"/>
      <c r="D31" s="640">
        <f>SPEDCareerEdCurrFY</f>
        <v>0</v>
      </c>
      <c r="E31" s="640">
        <f>SPEDCareerEdBudgFY</f>
        <v>0</v>
      </c>
      <c r="F31" s="577"/>
      <c r="G31" s="577"/>
      <c r="H31" s="577"/>
      <c r="I31" s="577"/>
      <c r="J31" s="577"/>
      <c r="K31" s="577"/>
      <c r="L31" s="701" t="s">
        <v>254</v>
      </c>
      <c r="M31" s="698">
        <f>F850CurrFY</f>
        <v>4175</v>
      </c>
      <c r="N31" s="699">
        <f>F850BudgFY</f>
        <v>4000</v>
      </c>
      <c r="O31" s="700"/>
      <c r="P31" s="1308"/>
      <c r="Q31" s="1308"/>
      <c r="R31" s="1308"/>
      <c r="S31" s="1308"/>
      <c r="T31" s="1308"/>
      <c r="U31" s="577"/>
    </row>
    <row r="32" spans="1:21" ht="12" customHeight="1" thickBot="1">
      <c r="A32" s="702" t="s">
        <v>988</v>
      </c>
      <c r="B32" s="693"/>
      <c r="C32" s="693"/>
      <c r="D32" s="703">
        <f t="array" ref="D32">[1]!SummCTEDBY</f>
        <v>0</v>
      </c>
      <c r="E32" s="703">
        <f>JTEDBudgFY</f>
        <v>0</v>
      </c>
      <c r="F32" s="577"/>
      <c r="G32" s="577"/>
      <c r="H32" s="577"/>
      <c r="I32" s="577"/>
      <c r="J32" s="577"/>
      <c r="K32" s="577"/>
      <c r="L32" s="667" t="str">
        <f>'Page 6'!O38</f>
        <v xml:space="preserve">Other _801_Type 03 taxes </v>
      </c>
      <c r="M32" s="668">
        <f>OtherFundsCurrFY</f>
        <v>0</v>
      </c>
      <c r="N32" s="669">
        <f>OtherFundsBudgFY</f>
        <v>0</v>
      </c>
      <c r="O32" s="577"/>
      <c r="P32" s="577"/>
      <c r="Q32" s="577"/>
      <c r="R32" s="577"/>
      <c r="S32" s="577"/>
      <c r="T32" s="577"/>
      <c r="U32" s="577"/>
    </row>
    <row r="33" spans="1:21" ht="12" customHeight="1" thickBot="1">
      <c r="A33" s="704" t="s">
        <v>354</v>
      </c>
      <c r="B33" s="705" t="s">
        <v>359</v>
      </c>
      <c r="C33" s="705"/>
      <c r="D33" s="706">
        <f>SUM(D25:D32)</f>
        <v>48876</v>
      </c>
      <c r="E33" s="706">
        <f>SUM(E25:E32)</f>
        <v>61643</v>
      </c>
      <c r="F33" s="1782" t="str">
        <f>IF(SUM(E25:E32)=F001P200TotBudgFY,"","INVALID. The amount should equal the total budgeted amount reported on line 24, page 1.")</f>
        <v/>
      </c>
      <c r="G33" s="1782"/>
      <c r="H33" s="1782"/>
      <c r="I33" s="1782"/>
      <c r="J33" s="1782"/>
      <c r="K33" s="577"/>
      <c r="L33" s="707" t="str">
        <f>'Page 6'!O40</f>
        <v>9___ Self-Insurance</v>
      </c>
      <c r="M33" s="668">
        <f>F9__SelfInsCurrFY</f>
        <v>0</v>
      </c>
      <c r="N33" s="669">
        <f>F9__SelfInsBudgFY</f>
        <v>0</v>
      </c>
      <c r="O33" s="577"/>
      <c r="P33" s="577"/>
      <c r="Q33" s="577"/>
      <c r="R33" s="577"/>
      <c r="S33" s="577"/>
      <c r="T33" s="577"/>
      <c r="U33" s="577"/>
    </row>
    <row r="34" spans="1:21" ht="12" customHeight="1" thickTop="1">
      <c r="A34" s="577"/>
      <c r="B34" s="577"/>
      <c r="C34" s="577"/>
      <c r="D34" s="577"/>
      <c r="E34" s="577"/>
      <c r="F34" s="1782"/>
      <c r="G34" s="1782"/>
      <c r="H34" s="1782"/>
      <c r="I34" s="1782"/>
      <c r="J34" s="1782"/>
      <c r="K34" s="577"/>
      <c r="L34" s="686" t="s">
        <v>258</v>
      </c>
      <c r="M34" s="668">
        <f>F955CurrFY</f>
        <v>0</v>
      </c>
      <c r="N34" s="669">
        <f>F955BudgFY</f>
        <v>0</v>
      </c>
      <c r="O34" s="577"/>
      <c r="P34" s="577"/>
      <c r="Q34" s="577"/>
      <c r="R34" s="577"/>
      <c r="S34" s="577"/>
      <c r="T34" s="577"/>
      <c r="U34" s="577"/>
    </row>
    <row r="35" spans="1:21" ht="10.5" customHeight="1">
      <c r="A35" s="1777" t="s">
        <v>355</v>
      </c>
      <c r="B35" s="1778"/>
      <c r="C35" s="1778"/>
      <c r="D35" s="1778"/>
      <c r="E35" s="1778"/>
      <c r="F35" s="1778"/>
      <c r="G35" s="1778"/>
      <c r="H35" s="1779"/>
      <c r="I35" s="577"/>
      <c r="J35" s="577"/>
      <c r="K35" s="577"/>
      <c r="L35" s="667" t="str">
        <f>'Page 6'!O42</f>
        <v>9__  OPEB</v>
      </c>
      <c r="M35" s="668">
        <f>F9__OPEBCurrFY</f>
        <v>0</v>
      </c>
      <c r="N35" s="669">
        <f>F9__OPEBBudgFY</f>
        <v>0</v>
      </c>
      <c r="O35" s="577"/>
      <c r="P35" s="577"/>
      <c r="Q35" s="577"/>
      <c r="R35" s="577"/>
      <c r="S35" s="577"/>
      <c r="T35" s="577"/>
      <c r="U35" s="577"/>
    </row>
    <row r="36" spans="1:21" ht="21" customHeight="1">
      <c r="A36" s="625" t="s">
        <v>1135</v>
      </c>
      <c r="B36" s="626"/>
      <c r="C36" s="626"/>
      <c r="D36" s="708" t="s">
        <v>1134</v>
      </c>
      <c r="E36" s="709" t="s">
        <v>356</v>
      </c>
      <c r="F36" s="710" t="s">
        <v>357</v>
      </c>
      <c r="G36" s="1766" t="s">
        <v>1136</v>
      </c>
      <c r="H36" s="1767"/>
      <c r="I36" s="577"/>
      <c r="J36" s="577"/>
      <c r="K36" s="577"/>
      <c r="L36" s="707" t="str">
        <f>'Page 6'!O43</f>
        <v>9___   ______________________</v>
      </c>
      <c r="M36" s="668">
        <f>F9__OtherCurrFY</f>
        <v>0</v>
      </c>
      <c r="N36" s="669">
        <f>F9__OtherBudgFY</f>
        <v>0</v>
      </c>
      <c r="O36" s="577"/>
      <c r="P36" s="577"/>
      <c r="Q36" s="577"/>
      <c r="R36" s="577"/>
      <c r="S36" s="577"/>
      <c r="T36" s="577"/>
      <c r="U36" s="577"/>
    </row>
    <row r="37" spans="1:21" ht="12" customHeight="1">
      <c r="A37" s="711" t="s">
        <v>358</v>
      </c>
      <c r="B37" s="584"/>
      <c r="C37" s="584"/>
      <c r="D37" s="693"/>
      <c r="E37" s="693"/>
      <c r="F37" s="584"/>
      <c r="G37" s="705"/>
      <c r="H37" s="712"/>
      <c r="I37" s="577"/>
      <c r="J37" s="577"/>
      <c r="K37" s="577"/>
      <c r="L37" s="713" t="s">
        <v>359</v>
      </c>
      <c r="M37" s="714">
        <f>SUM(M5:M36)</f>
        <v>67489</v>
      </c>
      <c r="N37" s="669">
        <f>SUM(N5:N36)</f>
        <v>43934</v>
      </c>
      <c r="O37" s="577"/>
      <c r="P37" s="577"/>
      <c r="Q37" s="577"/>
      <c r="R37" s="577"/>
      <c r="S37" s="577"/>
      <c r="T37" s="577"/>
      <c r="U37" s="577"/>
    </row>
    <row r="38" spans="1:21" ht="12" customHeight="1">
      <c r="A38" s="695" t="s">
        <v>360</v>
      </c>
      <c r="B38" s="583"/>
      <c r="C38" s="583"/>
      <c r="D38" s="68">
        <v>0</v>
      </c>
      <c r="E38" s="68">
        <v>1</v>
      </c>
      <c r="F38" s="715">
        <f>D38+E38</f>
        <v>1</v>
      </c>
      <c r="G38" s="716" t="s">
        <v>361</v>
      </c>
      <c r="H38" s="1464">
        <f>IF(F38&gt;0,ROUND(BudgetYearADM/F38,1)," ")</f>
        <v>0</v>
      </c>
      <c r="I38" s="577"/>
      <c r="J38" s="577"/>
      <c r="K38" s="577"/>
      <c r="L38" s="577"/>
      <c r="M38" s="577"/>
      <c r="N38" s="603"/>
      <c r="O38" s="577"/>
      <c r="P38" s="577"/>
      <c r="Q38" s="577"/>
      <c r="R38" s="577"/>
      <c r="S38" s="577"/>
      <c r="T38" s="577"/>
      <c r="U38" s="577"/>
    </row>
    <row r="39" spans="1:21" ht="12" customHeight="1">
      <c r="A39" s="695" t="s">
        <v>362</v>
      </c>
      <c r="B39" s="583"/>
      <c r="C39" s="583"/>
      <c r="D39" s="69">
        <v>0</v>
      </c>
      <c r="E39" s="68">
        <v>7</v>
      </c>
      <c r="F39" s="715">
        <f>D39+E39</f>
        <v>7</v>
      </c>
      <c r="G39" s="718" t="s">
        <v>361</v>
      </c>
      <c r="H39" s="1464">
        <f>IF(F39&gt;0,ROUND(BudgetYearADM/F39,1)," ")</f>
        <v>0</v>
      </c>
      <c r="I39" s="577"/>
      <c r="J39" s="577"/>
      <c r="K39" s="577"/>
      <c r="L39" s="577"/>
      <c r="M39" s="577"/>
      <c r="N39" s="577"/>
      <c r="O39" s="577"/>
      <c r="P39" s="577"/>
      <c r="Q39" s="577"/>
      <c r="R39" s="577"/>
      <c r="S39" s="577"/>
      <c r="T39" s="577"/>
      <c r="U39" s="577"/>
    </row>
    <row r="40" spans="1:21" ht="12" customHeight="1">
      <c r="A40" s="695" t="s">
        <v>83</v>
      </c>
      <c r="B40" s="583"/>
      <c r="C40" s="583"/>
      <c r="D40" s="69">
        <v>0</v>
      </c>
      <c r="E40" s="69">
        <v>0</v>
      </c>
      <c r="F40" s="715">
        <f>D40+E40</f>
        <v>0</v>
      </c>
      <c r="G40" s="718" t="s">
        <v>361</v>
      </c>
      <c r="H40" s="1464" t="str">
        <f>IF(F40&gt;0,ROUND(BudgetYearADM/F40,1)," ")</f>
        <v xml:space="preserve"> </v>
      </c>
      <c r="I40" s="577"/>
      <c r="J40" s="577"/>
      <c r="K40" s="577"/>
      <c r="L40" s="577"/>
      <c r="M40" s="577"/>
      <c r="N40" s="577"/>
      <c r="O40" s="577"/>
      <c r="P40" s="577"/>
      <c r="Q40" s="577"/>
      <c r="R40" s="577"/>
      <c r="S40" s="577"/>
      <c r="T40" s="577"/>
      <c r="U40" s="577"/>
    </row>
    <row r="41" spans="1:21" ht="12" customHeight="1">
      <c r="A41" s="719"/>
      <c r="B41" s="696" t="s">
        <v>363</v>
      </c>
      <c r="C41" s="696"/>
      <c r="D41" s="717">
        <f>SUM(D38:D40)</f>
        <v>0</v>
      </c>
      <c r="E41" s="717">
        <f>SUM(E38:E40)</f>
        <v>8</v>
      </c>
      <c r="F41" s="715">
        <f>D41+E41</f>
        <v>8</v>
      </c>
      <c r="G41" s="718" t="s">
        <v>361</v>
      </c>
      <c r="H41" s="1464">
        <f>IF(F41&gt;0,ROUND(BudgetYearADM/F41,1)," ")</f>
        <v>0</v>
      </c>
      <c r="I41" s="577"/>
      <c r="J41" s="577"/>
      <c r="K41" s="577"/>
      <c r="L41" s="577"/>
      <c r="M41" s="577"/>
      <c r="N41" s="577"/>
      <c r="O41" s="577"/>
      <c r="P41" s="577"/>
      <c r="Q41" s="577"/>
      <c r="R41" s="577"/>
      <c r="S41" s="577"/>
      <c r="T41" s="577"/>
      <c r="U41" s="577"/>
    </row>
    <row r="42" spans="1:21" ht="12" customHeight="1">
      <c r="A42" s="695" t="s">
        <v>364</v>
      </c>
      <c r="B42" s="584"/>
      <c r="C42" s="584"/>
      <c r="D42" s="720"/>
      <c r="E42" s="720"/>
      <c r="F42" s="650"/>
      <c r="G42" s="721"/>
      <c r="H42" s="1464"/>
      <c r="I42" s="577"/>
      <c r="J42" s="577"/>
      <c r="K42" s="577"/>
      <c r="L42" s="577"/>
      <c r="M42" s="577"/>
      <c r="N42" s="577"/>
      <c r="O42" s="577"/>
      <c r="P42" s="577"/>
      <c r="Q42" s="577"/>
      <c r="R42" s="577"/>
      <c r="S42" s="577"/>
      <c r="T42" s="577"/>
      <c r="U42" s="577"/>
    </row>
    <row r="43" spans="1:21" ht="12" customHeight="1">
      <c r="A43" s="695" t="s">
        <v>365</v>
      </c>
      <c r="B43" s="583"/>
      <c r="C43" s="583"/>
      <c r="D43" s="68">
        <v>0</v>
      </c>
      <c r="E43" s="68">
        <v>1</v>
      </c>
      <c r="F43" s="715">
        <f>D43+E43</f>
        <v>1</v>
      </c>
      <c r="G43" s="722" t="s">
        <v>361</v>
      </c>
      <c r="H43" s="1464">
        <f>IF(F43&gt;0,ROUND(BudgetYearADM/F43,1)," ")</f>
        <v>0</v>
      </c>
      <c r="I43" s="577"/>
      <c r="J43" s="577"/>
      <c r="K43" s="577"/>
      <c r="L43" s="577"/>
      <c r="M43" s="577"/>
      <c r="N43" s="577"/>
      <c r="O43" s="577"/>
      <c r="P43" s="577"/>
      <c r="Q43" s="577"/>
      <c r="R43" s="577"/>
      <c r="S43" s="577"/>
      <c r="T43" s="577"/>
      <c r="U43" s="577"/>
    </row>
    <row r="44" spans="1:21">
      <c r="A44" s="695" t="s">
        <v>366</v>
      </c>
      <c r="B44" s="583"/>
      <c r="C44" s="583"/>
      <c r="D44" s="69">
        <v>0</v>
      </c>
      <c r="E44" s="68">
        <v>3</v>
      </c>
      <c r="F44" s="715">
        <f>D44+E44</f>
        <v>3</v>
      </c>
      <c r="G44" s="718" t="s">
        <v>361</v>
      </c>
      <c r="H44" s="1464">
        <f>IF(F44&gt;0,ROUND(BudgetYearADM/F44,1)," ")</f>
        <v>0</v>
      </c>
      <c r="I44" s="577"/>
      <c r="J44" s="577"/>
      <c r="K44" s="577"/>
      <c r="L44" s="577"/>
      <c r="M44" s="577"/>
      <c r="N44" s="577"/>
      <c r="O44" s="577"/>
      <c r="P44" s="577"/>
      <c r="Q44" s="577"/>
      <c r="R44" s="577"/>
      <c r="S44" s="577"/>
      <c r="T44" s="577"/>
      <c r="U44" s="577"/>
    </row>
    <row r="45" spans="1:21" ht="12" customHeight="1">
      <c r="A45" s="723" t="s">
        <v>83</v>
      </c>
      <c r="B45" s="583"/>
      <c r="C45" s="583"/>
      <c r="D45" s="69">
        <v>0</v>
      </c>
      <c r="E45" s="68">
        <v>1</v>
      </c>
      <c r="F45" s="715">
        <f>D45+E45</f>
        <v>1</v>
      </c>
      <c r="G45" s="718" t="s">
        <v>361</v>
      </c>
      <c r="H45" s="1464">
        <f>IF(F45&gt;0,ROUND(BudgetYearADM/F45,1)," ")</f>
        <v>0</v>
      </c>
      <c r="I45" s="583"/>
      <c r="J45" s="650"/>
      <c r="K45" s="724"/>
      <c r="L45" s="577"/>
      <c r="M45" s="577"/>
      <c r="N45" s="577"/>
      <c r="O45" s="577"/>
      <c r="P45" s="577"/>
      <c r="Q45" s="577"/>
      <c r="R45" s="577"/>
      <c r="S45" s="577"/>
      <c r="T45" s="577"/>
      <c r="U45" s="577"/>
    </row>
    <row r="46" spans="1:21" ht="12" customHeight="1">
      <c r="A46" s="725"/>
      <c r="B46" s="696" t="s">
        <v>363</v>
      </c>
      <c r="C46" s="696"/>
      <c r="D46" s="717">
        <f>SUM(D43:D45)</f>
        <v>0</v>
      </c>
      <c r="E46" s="717">
        <f>SUM(E43:E45)</f>
        <v>5</v>
      </c>
      <c r="F46" s="715">
        <f>D46+E46</f>
        <v>5</v>
      </c>
      <c r="G46" s="718" t="s">
        <v>361</v>
      </c>
      <c r="H46" s="1464">
        <f>IF(F46&gt;0,ROUND(BudgetYearADM/F46,1)," ")</f>
        <v>0</v>
      </c>
      <c r="I46" s="577"/>
      <c r="J46" s="577"/>
      <c r="K46" s="577"/>
      <c r="L46" s="577"/>
      <c r="M46" s="577"/>
      <c r="N46" s="577"/>
      <c r="O46" s="577"/>
      <c r="P46" s="577"/>
      <c r="Q46" s="577"/>
      <c r="R46" s="577"/>
      <c r="S46" s="577"/>
      <c r="T46" s="577"/>
      <c r="U46" s="577"/>
    </row>
    <row r="47" spans="1:21" ht="12" customHeight="1">
      <c r="A47" s="726"/>
      <c r="B47" s="721" t="s">
        <v>359</v>
      </c>
      <c r="C47" s="727"/>
      <c r="D47" s="717">
        <f>D41+D46</f>
        <v>0</v>
      </c>
      <c r="E47" s="717">
        <f>E41+E46</f>
        <v>13</v>
      </c>
      <c r="F47" s="715">
        <f>D47+E47</f>
        <v>13</v>
      </c>
      <c r="G47" s="718" t="s">
        <v>361</v>
      </c>
      <c r="H47" s="1464">
        <f>IF(F47&gt;0,ROUND(BudgetYearADM/F47,1)," ")</f>
        <v>0</v>
      </c>
      <c r="I47" s="728"/>
      <c r="J47" s="583"/>
      <c r="K47" s="583"/>
      <c r="L47" s="729"/>
      <c r="M47" s="577"/>
      <c r="N47" s="577"/>
      <c r="O47" s="577"/>
      <c r="P47" s="577"/>
      <c r="Q47" s="577"/>
      <c r="R47" s="577"/>
      <c r="S47" s="577"/>
      <c r="T47" s="577"/>
      <c r="U47" s="577"/>
    </row>
    <row r="48" spans="1:21" ht="6.75" customHeight="1">
      <c r="A48" s="730"/>
      <c r="B48" s="650"/>
      <c r="C48" s="650"/>
      <c r="D48" s="1465"/>
      <c r="E48" s="1465"/>
      <c r="F48" s="1466"/>
      <c r="G48" s="1467"/>
      <c r="H48" s="1468"/>
      <c r="I48" s="583"/>
      <c r="J48" s="583"/>
      <c r="K48" s="583"/>
      <c r="L48" s="577"/>
      <c r="M48" s="577"/>
      <c r="N48" s="577"/>
      <c r="O48" s="577"/>
      <c r="P48" s="577"/>
      <c r="Q48" s="577"/>
      <c r="R48" s="577"/>
      <c r="S48" s="577"/>
      <c r="T48" s="577"/>
      <c r="U48" s="577"/>
    </row>
    <row r="49" spans="1:21" ht="12" customHeight="1">
      <c r="A49" s="730" t="s">
        <v>367</v>
      </c>
      <c r="B49" s="650"/>
      <c r="C49" s="650"/>
      <c r="D49" s="1465"/>
      <c r="E49" s="1465"/>
      <c r="F49" s="1466"/>
      <c r="G49" s="1467"/>
      <c r="H49" s="1469"/>
      <c r="I49" s="583"/>
      <c r="J49" s="583"/>
      <c r="K49" s="583"/>
      <c r="L49" s="583"/>
      <c r="M49" s="577"/>
      <c r="N49" s="577"/>
      <c r="O49" s="577"/>
      <c r="P49" s="577"/>
      <c r="Q49" s="577"/>
      <c r="R49" s="577"/>
      <c r="S49" s="577"/>
      <c r="T49" s="577"/>
      <c r="U49" s="577"/>
    </row>
    <row r="50" spans="1:21" ht="10.5" customHeight="1">
      <c r="A50" s="730" t="s">
        <v>368</v>
      </c>
      <c r="B50" s="584"/>
      <c r="C50" s="584"/>
      <c r="D50" s="70">
        <v>0</v>
      </c>
      <c r="E50" s="71">
        <v>0</v>
      </c>
      <c r="F50" s="715">
        <f>D50+E50</f>
        <v>0</v>
      </c>
      <c r="G50" s="1470" t="s">
        <v>369</v>
      </c>
      <c r="H50" s="1471">
        <v>15</v>
      </c>
      <c r="I50" s="583"/>
      <c r="J50" s="583"/>
      <c r="K50" s="583"/>
      <c r="L50" s="583"/>
      <c r="M50" s="577"/>
      <c r="N50" s="577"/>
      <c r="O50" s="577"/>
      <c r="P50" s="577"/>
      <c r="Q50" s="577"/>
      <c r="R50" s="577"/>
      <c r="S50" s="577"/>
      <c r="T50" s="577"/>
      <c r="U50" s="577"/>
    </row>
    <row r="51" spans="1:21">
      <c r="A51" s="732" t="s">
        <v>370</v>
      </c>
      <c r="B51" s="733"/>
      <c r="C51" s="734"/>
      <c r="D51" s="70">
        <v>0</v>
      </c>
      <c r="E51" s="71">
        <v>3</v>
      </c>
      <c r="F51" s="715">
        <f>D51+E51</f>
        <v>3</v>
      </c>
      <c r="G51" s="1470" t="s">
        <v>369</v>
      </c>
      <c r="H51" s="1472">
        <v>15</v>
      </c>
      <c r="I51" s="649"/>
      <c r="J51" s="649"/>
      <c r="K51" s="649"/>
      <c r="L51" s="583"/>
      <c r="M51" s="577"/>
      <c r="N51" s="577"/>
      <c r="O51" s="577"/>
      <c r="P51" s="577"/>
      <c r="Q51" s="577"/>
      <c r="R51" s="577"/>
      <c r="S51" s="577"/>
      <c r="T51" s="577"/>
      <c r="U51" s="577"/>
    </row>
    <row r="52" spans="1:21">
      <c r="A52" s="577"/>
      <c r="B52" s="577"/>
      <c r="C52" s="577"/>
      <c r="D52" s="577"/>
      <c r="E52" s="577"/>
      <c r="F52" s="577"/>
      <c r="G52" s="577"/>
      <c r="H52" s="577"/>
      <c r="I52" s="577"/>
      <c r="J52" s="577"/>
      <c r="K52" s="583"/>
      <c r="L52" s="583"/>
      <c r="M52" s="577"/>
      <c r="N52" s="577"/>
      <c r="O52" s="577"/>
      <c r="P52" s="577"/>
      <c r="Q52" s="577"/>
      <c r="R52" s="577"/>
      <c r="S52" s="577"/>
      <c r="T52" s="577"/>
      <c r="U52" s="577"/>
    </row>
    <row r="53" spans="1:21">
      <c r="A53" s="577"/>
      <c r="B53" s="577"/>
      <c r="C53" s="577"/>
      <c r="D53" s="577"/>
      <c r="E53" s="577"/>
      <c r="F53" s="577"/>
      <c r="G53" s="577"/>
      <c r="H53" s="577"/>
      <c r="I53" s="577"/>
      <c r="J53" s="577"/>
      <c r="K53" s="583"/>
      <c r="L53" s="649"/>
      <c r="M53" s="577"/>
      <c r="N53" s="577"/>
      <c r="O53" s="577"/>
      <c r="P53" s="577"/>
      <c r="Q53" s="577"/>
      <c r="R53" s="577"/>
      <c r="S53" s="577"/>
      <c r="T53" s="577"/>
      <c r="U53" s="577"/>
    </row>
    <row r="54" spans="1:21">
      <c r="A54" s="577"/>
      <c r="B54" s="577"/>
      <c r="C54" s="577"/>
      <c r="D54" s="577"/>
      <c r="E54" s="577"/>
      <c r="F54" s="577"/>
      <c r="G54" s="577"/>
      <c r="H54" s="577"/>
      <c r="I54" s="577"/>
      <c r="J54" s="577"/>
      <c r="K54" s="583"/>
      <c r="L54" s="577"/>
      <c r="M54" s="577"/>
      <c r="N54" s="577"/>
      <c r="O54" s="577"/>
      <c r="P54" s="577"/>
      <c r="Q54" s="577"/>
      <c r="R54" s="577"/>
      <c r="S54" s="577"/>
      <c r="T54" s="577"/>
      <c r="U54" s="577"/>
    </row>
    <row r="55" spans="1:21">
      <c r="A55" s="577"/>
      <c r="B55" s="577"/>
      <c r="C55" s="577"/>
      <c r="D55" s="577"/>
      <c r="E55" s="577"/>
      <c r="F55" s="577"/>
      <c r="G55" s="577"/>
      <c r="H55" s="577"/>
      <c r="I55" s="577"/>
      <c r="J55" s="577"/>
      <c r="K55" s="731"/>
      <c r="L55" s="577"/>
      <c r="M55" s="577"/>
      <c r="N55" s="577"/>
      <c r="O55" s="577"/>
      <c r="P55" s="577"/>
      <c r="Q55" s="577"/>
      <c r="R55" s="577"/>
      <c r="S55" s="577"/>
      <c r="T55" s="577"/>
      <c r="U55" s="577"/>
    </row>
  </sheetData>
  <sheetProtection sheet="1" formatCells="0" formatColumns="0" formatRows="0"/>
  <mergeCells count="14">
    <mergeCell ref="L1:N3"/>
    <mergeCell ref="I1:J1"/>
    <mergeCell ref="A1:F1"/>
    <mergeCell ref="I2:J2"/>
    <mergeCell ref="G36:H36"/>
    <mergeCell ref="G16:J25"/>
    <mergeCell ref="A2:F2"/>
    <mergeCell ref="C3:D3"/>
    <mergeCell ref="A24:C24"/>
    <mergeCell ref="A23:E23"/>
    <mergeCell ref="A35:H35"/>
    <mergeCell ref="A4:B4"/>
    <mergeCell ref="G4:J14"/>
    <mergeCell ref="F33:J34"/>
  </mergeCells>
  <printOptions horizontalCentered="1"/>
  <pageMargins left="0.25" right="0.25" top="0.25" bottom="0.25" header="0" footer="0.15"/>
  <pageSetup paperSize="5" scale="97" orientation="landscape" r:id="rId1"/>
  <headerFooter alignWithMargins="0">
    <oddFooter>&amp;L&amp;"Times New Roman,Bold"&amp;9Rev. 5/26&amp;K000000 Arizona Department of Education and Auditor General&amp;C&amp;"Times New Roman,Regular"&amp;9&amp;D  &amp;T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pageSetUpPr fitToPage="1"/>
  </sheetPr>
  <dimension ref="A1:Q53"/>
  <sheetViews>
    <sheetView showGridLines="0" topLeftCell="A11" zoomScaleNormal="100" workbookViewId="0">
      <selection activeCell="Q37" sqref="Q37"/>
    </sheetView>
  </sheetViews>
  <sheetFormatPr defaultColWidth="8.81640625" defaultRowHeight="13.8"/>
  <cols>
    <col min="1" max="1" width="4" style="150" customWidth="1"/>
    <col min="2" max="2" width="1.54296875" style="150" customWidth="1"/>
    <col min="3" max="3" width="1.81640625" style="150" customWidth="1"/>
    <col min="4" max="4" width="7.54296875" style="150" customWidth="1"/>
    <col min="5" max="5" width="27.453125" style="150" customWidth="1"/>
    <col min="6" max="6" width="1.453125" style="150" customWidth="1"/>
    <col min="7" max="7" width="12" style="150" customWidth="1"/>
    <col min="8" max="8" width="2.81640625" style="150" customWidth="1"/>
    <col min="9" max="9" width="10" style="150" customWidth="1"/>
    <col min="10" max="10" width="3" style="150" customWidth="1"/>
    <col min="11" max="11" width="2.81640625" style="150" customWidth="1"/>
    <col min="12" max="12" width="10" style="150" customWidth="1"/>
    <col min="13" max="13" width="3.81640625" style="150" customWidth="1"/>
    <col min="14" max="14" width="6.453125" style="150" customWidth="1"/>
    <col min="15" max="20" width="8.81640625" style="150" customWidth="1"/>
    <col min="21" max="16384" width="8.81640625" style="150"/>
  </cols>
  <sheetData>
    <row r="1" spans="1:17" ht="15" customHeight="1">
      <c r="A1" s="1122" t="s">
        <v>140</v>
      </c>
      <c r="B1" s="1316"/>
      <c r="C1" s="96"/>
      <c r="E1" s="1783" t="str">
        <f>DistrictName</f>
        <v>Pomerene Elementary School District</v>
      </c>
      <c r="F1" s="1783"/>
      <c r="G1" s="1783"/>
      <c r="H1" s="1316"/>
      <c r="I1" s="1607" t="s">
        <v>202</v>
      </c>
      <c r="J1" s="1784"/>
      <c r="K1" s="1784"/>
      <c r="L1" s="98" t="str">
        <f>Cover!S1</f>
        <v>020364000</v>
      </c>
      <c r="M1" s="96"/>
      <c r="O1" s="138"/>
    </row>
    <row r="2" spans="1:17" ht="14.25" customHeight="1">
      <c r="A2" s="1591" t="s">
        <v>691</v>
      </c>
      <c r="B2" s="1591"/>
      <c r="C2" s="1591"/>
      <c r="D2" s="1591"/>
      <c r="E2" s="1"/>
      <c r="F2" s="1"/>
      <c r="G2" s="1"/>
      <c r="H2" s="1"/>
      <c r="I2" s="1271"/>
      <c r="J2" s="4"/>
      <c r="K2" s="1270" t="s">
        <v>16</v>
      </c>
      <c r="L2" s="735" t="str">
        <f>Cover!C8</f>
        <v>Proposed</v>
      </c>
      <c r="M2" s="96"/>
      <c r="N2" s="148"/>
      <c r="O2" s="138"/>
    </row>
    <row r="3" spans="1:17">
      <c r="B3" s="103"/>
      <c r="C3" s="103"/>
      <c r="D3" s="103"/>
      <c r="E3" s="1487" t="s">
        <v>1327</v>
      </c>
      <c r="F3" s="103"/>
      <c r="G3" s="103"/>
      <c r="H3" s="103"/>
      <c r="I3" s="103"/>
      <c r="J3" s="103"/>
      <c r="K3" s="103"/>
      <c r="L3" s="103"/>
      <c r="M3" s="103"/>
      <c r="N3" s="151"/>
    </row>
    <row r="4" spans="1:17" ht="8.25" customHeight="1">
      <c r="A4" s="736"/>
      <c r="B4" s="103"/>
      <c r="C4" s="103"/>
      <c r="D4" s="103"/>
      <c r="E4" s="103"/>
      <c r="F4" s="103"/>
      <c r="G4" s="103"/>
      <c r="H4" s="103"/>
      <c r="I4" s="103"/>
      <c r="J4" s="103"/>
      <c r="K4" s="103"/>
      <c r="L4" s="103"/>
      <c r="M4" s="103"/>
      <c r="N4" s="151"/>
    </row>
    <row r="5" spans="1:17" ht="13.5" customHeight="1">
      <c r="A5" s="180" t="s">
        <v>6</v>
      </c>
      <c r="B5" s="103"/>
      <c r="C5" s="1583" t="s">
        <v>1328</v>
      </c>
      <c r="D5" s="1583"/>
      <c r="E5" s="1583"/>
      <c r="F5" s="1583"/>
      <c r="G5" s="1583"/>
      <c r="H5" s="1271" t="s">
        <v>273</v>
      </c>
      <c r="I5" s="490">
        <f t="array" ref="I5">[1]!AdjTNTBaseLimit+[1]!ExcessTNTLimit</f>
        <v>173949</v>
      </c>
      <c r="J5" s="103"/>
      <c r="K5" s="103"/>
      <c r="L5" s="103"/>
      <c r="M5" s="103"/>
      <c r="N5" s="151"/>
    </row>
    <row r="6" spans="1:17" ht="12" customHeight="1">
      <c r="A6" s="180" t="s">
        <v>8</v>
      </c>
      <c r="B6" s="103"/>
      <c r="C6" s="96" t="s">
        <v>371</v>
      </c>
      <c r="D6" s="96"/>
      <c r="E6" s="96"/>
      <c r="F6" s="1793" t="str">
        <f>IF(SUM(I11:I14)=0,IF(I7&gt;0,"No budget on lines 4 -7 below. Click here for Instructions",""),"")</f>
        <v/>
      </c>
      <c r="G6" s="1793"/>
      <c r="H6" s="1271"/>
      <c r="I6" s="18"/>
      <c r="J6" s="103"/>
      <c r="K6" s="103"/>
      <c r="L6" s="103"/>
      <c r="M6" s="103"/>
      <c r="N6" s="151"/>
    </row>
    <row r="7" spans="1:17" ht="14.25" customHeight="1" thickBot="1">
      <c r="A7" s="175" t="s">
        <v>22</v>
      </c>
      <c r="B7" s="103"/>
      <c r="C7" s="96" t="s">
        <v>1329</v>
      </c>
      <c r="D7" s="96"/>
      <c r="E7" s="96"/>
      <c r="F7" s="1793"/>
      <c r="G7" s="1793"/>
      <c r="H7" s="1271" t="s">
        <v>273</v>
      </c>
      <c r="I7" s="737">
        <f>I5-I6</f>
        <v>173949</v>
      </c>
      <c r="J7" s="103"/>
      <c r="K7" s="103"/>
      <c r="L7" s="103"/>
      <c r="M7" s="103"/>
      <c r="N7" s="151"/>
      <c r="Q7" s="1486"/>
    </row>
    <row r="8" spans="1:17" ht="13.5" customHeight="1" thickTop="1">
      <c r="A8" s="175"/>
      <c r="B8" s="96"/>
      <c r="C8" s="496"/>
      <c r="D8" s="496"/>
      <c r="E8" s="496"/>
      <c r="F8" s="1793"/>
      <c r="G8" s="1793"/>
      <c r="H8" s="1271"/>
      <c r="I8" s="1282"/>
      <c r="J8" s="96"/>
      <c r="K8" s="1788" t="s">
        <v>372</v>
      </c>
      <c r="L8" s="1788"/>
      <c r="M8" s="1788"/>
      <c r="N8" s="738"/>
    </row>
    <row r="9" spans="1:17" ht="13.5" customHeight="1">
      <c r="A9" s="116" t="s">
        <v>1330</v>
      </c>
      <c r="B9" s="96"/>
      <c r="D9" s="116"/>
      <c r="E9" s="96"/>
      <c r="F9" s="96"/>
      <c r="G9" s="96"/>
      <c r="H9" s="96"/>
      <c r="I9" s="1282"/>
      <c r="J9" s="736"/>
      <c r="K9" s="1788"/>
      <c r="L9" s="1788"/>
      <c r="M9" s="1788"/>
      <c r="N9" s="738"/>
    </row>
    <row r="10" spans="1:17" ht="7.5" customHeight="1">
      <c r="A10" s="1271"/>
      <c r="B10" s="96"/>
      <c r="C10" s="96"/>
      <c r="D10" s="96"/>
      <c r="E10" s="96"/>
      <c r="F10" s="96"/>
      <c r="G10" s="96"/>
      <c r="H10" s="96"/>
      <c r="I10" s="1282"/>
      <c r="J10" s="736"/>
      <c r="K10" s="1788"/>
      <c r="L10" s="1788"/>
      <c r="M10" s="1788"/>
      <c r="N10" s="738"/>
    </row>
    <row r="11" spans="1:17" ht="13.5" customHeight="1">
      <c r="A11" s="739" t="s">
        <v>40</v>
      </c>
      <c r="B11" s="96"/>
      <c r="C11" s="1789" t="s">
        <v>373</v>
      </c>
      <c r="D11" s="1789"/>
      <c r="E11" s="1789"/>
      <c r="F11" s="1299"/>
      <c r="G11" s="1299"/>
      <c r="H11" s="1271" t="s">
        <v>273</v>
      </c>
      <c r="I11" s="490">
        <v>0</v>
      </c>
      <c r="J11" s="96"/>
      <c r="K11" s="1271"/>
      <c r="L11" s="740">
        <f>IF(ISERROR(I11/$I$35),"",I11/$I$35)</f>
        <v>0</v>
      </c>
      <c r="M11" s="96"/>
      <c r="N11" s="151"/>
    </row>
    <row r="12" spans="1:17" ht="13.5" customHeight="1">
      <c r="A12" s="328" t="s">
        <v>98</v>
      </c>
      <c r="B12" s="96"/>
      <c r="C12" s="96" t="s">
        <v>374</v>
      </c>
      <c r="D12" s="96"/>
      <c r="E12" s="96"/>
      <c r="F12" s="96"/>
      <c r="G12" s="96"/>
      <c r="H12" s="1271"/>
      <c r="I12" s="338">
        <f>F001P530</f>
        <v>0</v>
      </c>
      <c r="J12" s="96"/>
      <c r="K12" s="1271"/>
      <c r="L12" s="740">
        <f>IF(ISERROR(I12/$I$35),"",I12/$I$35)</f>
        <v>0</v>
      </c>
      <c r="M12" s="96"/>
      <c r="N12" s="151"/>
    </row>
    <row r="13" spans="1:17" ht="13.5" customHeight="1">
      <c r="A13" s="328" t="s">
        <v>99</v>
      </c>
      <c r="B13" s="96"/>
      <c r="C13" s="1790" t="s">
        <v>1041</v>
      </c>
      <c r="D13" s="1790"/>
      <c r="E13" s="1790"/>
      <c r="F13" s="1790"/>
      <c r="G13" s="1790"/>
      <c r="H13" s="1271"/>
      <c r="I13" s="490">
        <v>0</v>
      </c>
      <c r="J13" s="96"/>
      <c r="K13" s="1271"/>
      <c r="L13" s="740">
        <f>IF(ISERROR(I13/$I$35),"",I13/$I$35)</f>
        <v>0</v>
      </c>
      <c r="M13" s="96"/>
      <c r="N13" s="151"/>
    </row>
    <row r="14" spans="1:17" ht="13.5" customHeight="1">
      <c r="A14" s="328" t="s">
        <v>100</v>
      </c>
      <c r="B14" s="96"/>
      <c r="C14" s="96" t="s">
        <v>375</v>
      </c>
      <c r="D14" s="96"/>
      <c r="E14" s="96"/>
      <c r="F14" s="96"/>
      <c r="G14" s="96"/>
      <c r="H14" s="1271" t="s">
        <v>273</v>
      </c>
      <c r="I14" s="490">
        <f>SSA_MO+SSA_UCO</f>
        <v>173949</v>
      </c>
      <c r="J14" s="96"/>
      <c r="K14" s="1271"/>
      <c r="L14" s="740">
        <f>IF(ISERROR(I14/$I$35),"",I14/$I$35)</f>
        <v>2.0299999999999999E-2</v>
      </c>
      <c r="M14" s="96"/>
      <c r="N14" s="151"/>
    </row>
    <row r="15" spans="1:17" ht="15.75" customHeight="1">
      <c r="A15" s="116" t="s">
        <v>1331</v>
      </c>
      <c r="B15" s="96"/>
      <c r="D15" s="96"/>
      <c r="E15" s="96"/>
      <c r="F15" s="96"/>
      <c r="G15" s="96"/>
      <c r="H15" s="1271"/>
      <c r="I15" s="492"/>
      <c r="J15" s="96"/>
      <c r="K15" s="1271"/>
      <c r="L15" s="108"/>
      <c r="M15" s="96"/>
      <c r="N15" s="151"/>
    </row>
    <row r="16" spans="1:17" ht="24" customHeight="1">
      <c r="A16" s="739" t="s">
        <v>102</v>
      </c>
      <c r="B16" s="96"/>
      <c r="C16" s="1791" t="s">
        <v>1042</v>
      </c>
      <c r="D16" s="1791"/>
      <c r="E16" s="1791"/>
      <c r="F16" s="1791"/>
      <c r="G16" s="1791"/>
      <c r="H16" s="1271"/>
      <c r="I16" s="1273"/>
      <c r="J16" s="96"/>
      <c r="K16" s="1271"/>
      <c r="L16" s="108"/>
      <c r="M16" s="96"/>
      <c r="N16" s="151"/>
    </row>
    <row r="17" spans="1:14" ht="13.5" customHeight="1">
      <c r="A17" s="739"/>
      <c r="B17" s="96"/>
      <c r="C17" s="742" t="s">
        <v>376</v>
      </c>
      <c r="D17" s="119" t="s">
        <v>1332</v>
      </c>
      <c r="E17" s="1314"/>
      <c r="F17" s="1314" t="s">
        <v>273</v>
      </c>
      <c r="G17" s="31">
        <v>0</v>
      </c>
      <c r="H17" s="1271"/>
      <c r="I17" s="1273"/>
      <c r="J17" s="96"/>
      <c r="K17" s="1271"/>
    </row>
    <row r="18" spans="1:14" ht="25.5" customHeight="1">
      <c r="A18" s="739"/>
      <c r="B18" s="96"/>
      <c r="C18" s="119" t="s">
        <v>377</v>
      </c>
      <c r="D18" s="1627" t="s">
        <v>1333</v>
      </c>
      <c r="E18" s="1627"/>
      <c r="F18" s="1276"/>
      <c r="G18" s="490">
        <f>SUM('[1]Truth in Tax'!$I$11:$I$13)</f>
        <v>0</v>
      </c>
      <c r="H18" s="1271"/>
      <c r="I18" s="1273"/>
      <c r="J18" s="96"/>
      <c r="K18" s="1271"/>
      <c r="L18" s="108"/>
      <c r="M18" s="96"/>
      <c r="N18" s="151"/>
    </row>
    <row r="19" spans="1:14" ht="13.5" customHeight="1">
      <c r="A19" s="328"/>
      <c r="B19" s="96"/>
      <c r="C19" s="119" t="s">
        <v>378</v>
      </c>
      <c r="D19" s="1792" t="s">
        <v>379</v>
      </c>
      <c r="E19" s="1792"/>
      <c r="F19" s="1792"/>
      <c r="G19" s="1792"/>
      <c r="H19" s="1271" t="s">
        <v>273</v>
      </c>
      <c r="I19" s="490">
        <f>IF(G17&lt;&gt;0,G17-G18,0)</f>
        <v>0</v>
      </c>
      <c r="J19" s="96"/>
      <c r="K19" s="1271"/>
    </row>
    <row r="20" spans="1:14" ht="13.5" customHeight="1">
      <c r="A20" s="328" t="s">
        <v>103</v>
      </c>
      <c r="B20" s="96"/>
      <c r="C20" s="96" t="s">
        <v>380</v>
      </c>
      <c r="D20" s="1"/>
      <c r="E20" s="1"/>
      <c r="F20" s="1"/>
      <c r="G20" s="1"/>
      <c r="H20" s="1271"/>
      <c r="I20" s="492"/>
      <c r="J20" s="96"/>
      <c r="K20" s="1271"/>
    </row>
    <row r="21" spans="1:14" ht="13.5" customHeight="1">
      <c r="A21" s="328"/>
      <c r="B21" s="96"/>
      <c r="C21" s="96" t="s">
        <v>376</v>
      </c>
      <c r="D21" s="96" t="s">
        <v>1334</v>
      </c>
      <c r="E21" s="1271"/>
      <c r="F21" s="1271" t="s">
        <v>273</v>
      </c>
      <c r="G21" s="31">
        <v>173949</v>
      </c>
      <c r="H21" s="1271"/>
      <c r="I21" s="1273"/>
      <c r="J21" s="96"/>
      <c r="K21" s="1271"/>
      <c r="L21" s="96"/>
      <c r="M21" s="96"/>
      <c r="N21" s="151"/>
    </row>
    <row r="22" spans="1:14" ht="24" customHeight="1">
      <c r="A22" s="739"/>
      <c r="B22" s="96"/>
      <c r="C22" s="119" t="s">
        <v>377</v>
      </c>
      <c r="D22" s="1791" t="s">
        <v>1335</v>
      </c>
      <c r="E22" s="1791"/>
      <c r="F22" s="1309" t="s">
        <v>273</v>
      </c>
      <c r="G22" s="490">
        <f>'[1]Truth in Tax'!$I$14</f>
        <v>173949</v>
      </c>
      <c r="H22" s="1271"/>
      <c r="I22" s="1273"/>
      <c r="J22" s="96"/>
      <c r="K22" s="1271"/>
      <c r="L22" s="96"/>
      <c r="M22" s="96"/>
      <c r="N22" s="151"/>
    </row>
    <row r="23" spans="1:14" ht="25.5" customHeight="1">
      <c r="A23" s="328"/>
      <c r="B23" s="96"/>
      <c r="C23" s="119" t="s">
        <v>378</v>
      </c>
      <c r="D23" s="1791" t="s">
        <v>381</v>
      </c>
      <c r="E23" s="1791"/>
      <c r="F23" s="1309"/>
      <c r="G23" s="96"/>
      <c r="H23" s="1271" t="s">
        <v>273</v>
      </c>
      <c r="I23" s="490">
        <f>IF(G21&lt;&gt;0,G21-G22,0)</f>
        <v>0</v>
      </c>
      <c r="J23" s="96"/>
      <c r="K23" s="1271"/>
      <c r="L23" s="96"/>
      <c r="M23" s="96"/>
      <c r="N23" s="151"/>
    </row>
    <row r="24" spans="1:14" ht="13.5" customHeight="1" thickBot="1">
      <c r="A24" s="328" t="s">
        <v>104</v>
      </c>
      <c r="B24" s="96"/>
      <c r="C24" s="96" t="s">
        <v>382</v>
      </c>
      <c r="D24" s="96"/>
      <c r="E24" s="96"/>
      <c r="F24" s="96"/>
      <c r="G24" s="96"/>
      <c r="H24" s="1271" t="s">
        <v>273</v>
      </c>
      <c r="I24" s="1118">
        <f>SUM(I11:I14)+I19+I23</f>
        <v>173949</v>
      </c>
      <c r="J24" s="96"/>
      <c r="K24" s="96"/>
      <c r="L24" s="744"/>
      <c r="M24" s="96"/>
      <c r="N24" s="151"/>
    </row>
    <row r="25" spans="1:14" ht="13.5" customHeight="1" thickTop="1">
      <c r="A25" s="328" t="s">
        <v>105</v>
      </c>
      <c r="B25" s="96"/>
      <c r="C25" s="96" t="s">
        <v>1043</v>
      </c>
      <c r="D25" s="96"/>
      <c r="E25" s="96"/>
      <c r="F25" s="96"/>
      <c r="G25" s="96"/>
      <c r="H25" s="96"/>
      <c r="I25" s="1117"/>
      <c r="J25" s="96"/>
      <c r="K25" s="96"/>
      <c r="L25" s="744"/>
      <c r="M25" s="96"/>
      <c r="N25" s="151"/>
    </row>
    <row r="26" spans="1:14" ht="13.5" customHeight="1" thickBot="1">
      <c r="A26" s="175"/>
      <c r="B26" s="96"/>
      <c r="C26" s="96" t="s">
        <v>383</v>
      </c>
      <c r="D26" s="96"/>
      <c r="E26" s="96"/>
      <c r="F26" s="96"/>
      <c r="G26" s="96"/>
      <c r="H26" s="1271" t="s">
        <v>273</v>
      </c>
      <c r="I26" s="1211">
        <f>IF(I24-I7&gt;0,I24-I7,0)</f>
        <v>0</v>
      </c>
      <c r="J26" s="96"/>
      <c r="K26" s="96"/>
      <c r="L26" s="744"/>
      <c r="M26" s="96"/>
      <c r="N26" s="151"/>
    </row>
    <row r="27" spans="1:14" ht="7.5" customHeight="1" thickTop="1">
      <c r="A27" s="175"/>
      <c r="B27" s="96"/>
      <c r="C27" s="96"/>
      <c r="D27" s="96"/>
      <c r="E27" s="96"/>
      <c r="F27" s="96"/>
      <c r="G27" s="96"/>
      <c r="H27" s="96"/>
      <c r="I27" s="1282"/>
      <c r="J27" s="96"/>
      <c r="K27" s="96"/>
      <c r="L27" s="744"/>
      <c r="M27" s="96"/>
      <c r="N27" s="151"/>
    </row>
    <row r="28" spans="1:14" ht="13.5" customHeight="1">
      <c r="A28" s="417" t="s">
        <v>106</v>
      </c>
      <c r="B28" s="96"/>
      <c r="C28" s="96" t="s">
        <v>1336</v>
      </c>
      <c r="D28" s="96"/>
      <c r="E28" s="96"/>
      <c r="F28" s="96"/>
      <c r="G28" s="96"/>
      <c r="H28" s="96"/>
      <c r="I28" s="1282"/>
      <c r="J28" s="96"/>
      <c r="K28" s="96"/>
      <c r="L28" s="744"/>
      <c r="M28" s="96"/>
      <c r="N28" s="151"/>
    </row>
    <row r="29" spans="1:14" ht="12" customHeight="1">
      <c r="A29" s="1271"/>
      <c r="B29" s="96"/>
      <c r="C29" s="96" t="s">
        <v>384</v>
      </c>
      <c r="D29" s="96"/>
      <c r="E29" s="96"/>
      <c r="F29" s="96"/>
      <c r="G29" s="96"/>
      <c r="H29" s="1271" t="s">
        <v>273</v>
      </c>
      <c r="I29" s="743">
        <f>AdjWaysLevy</f>
        <v>0</v>
      </c>
      <c r="J29" s="96"/>
      <c r="K29" s="1271"/>
      <c r="L29" s="740">
        <f>IF(ISERROR(I29/$I$35),"",I29/$I$35)</f>
        <v>0</v>
      </c>
      <c r="M29" s="96"/>
      <c r="N29" s="151"/>
    </row>
    <row r="30" spans="1:14" ht="13.5" customHeight="1">
      <c r="A30" s="328" t="s">
        <v>107</v>
      </c>
      <c r="B30" s="96"/>
      <c r="C30" s="96" t="s">
        <v>1337</v>
      </c>
      <c r="D30" s="96"/>
      <c r="E30" s="96"/>
      <c r="F30" s="96"/>
      <c r="G30" s="96"/>
      <c r="H30" s="96"/>
      <c r="I30" s="1273"/>
      <c r="J30" s="96"/>
      <c r="K30" s="96"/>
      <c r="L30" s="108"/>
      <c r="M30" s="96"/>
      <c r="N30" s="151"/>
    </row>
    <row r="31" spans="1:14" ht="12" customHeight="1">
      <c r="A31" s="96"/>
      <c r="B31" s="96"/>
      <c r="C31" s="96" t="s">
        <v>1044</v>
      </c>
      <c r="D31" s="96"/>
      <c r="E31" s="96"/>
      <c r="F31" s="96"/>
      <c r="G31" s="96"/>
      <c r="H31" s="1271" t="s">
        <v>273</v>
      </c>
      <c r="I31" s="31"/>
      <c r="J31" s="96"/>
      <c r="K31" s="1271"/>
      <c r="L31" s="740">
        <f>IF(ISERROR(I31/$I$35),"",I31/$I$35)</f>
        <v>0</v>
      </c>
      <c r="M31" s="96"/>
      <c r="N31" s="151"/>
    </row>
    <row r="32" spans="1:14" ht="5.25" customHeight="1">
      <c r="A32" s="96"/>
      <c r="B32" s="96"/>
      <c r="C32" s="96"/>
      <c r="D32" s="96"/>
      <c r="E32" s="96"/>
      <c r="F32" s="96"/>
      <c r="G32" s="96"/>
      <c r="H32" s="96"/>
      <c r="I32" s="96"/>
      <c r="J32" s="96"/>
      <c r="K32" s="96"/>
      <c r="L32" s="96"/>
      <c r="M32" s="96"/>
      <c r="N32" s="151"/>
    </row>
    <row r="33" spans="1:16" ht="13.5" customHeight="1">
      <c r="A33" s="116" t="s">
        <v>1139</v>
      </c>
      <c r="B33" s="96"/>
      <c r="C33" s="96"/>
      <c r="D33" s="96"/>
      <c r="E33" s="96"/>
      <c r="F33" s="96"/>
      <c r="G33" s="96"/>
      <c r="H33" s="96"/>
      <c r="I33" s="96"/>
      <c r="J33" s="96"/>
      <c r="K33" s="96"/>
      <c r="L33" s="96"/>
      <c r="M33" s="96"/>
      <c r="N33" s="151"/>
    </row>
    <row r="34" spans="1:16" ht="13.5" customHeight="1">
      <c r="A34" s="1271" t="s">
        <v>385</v>
      </c>
      <c r="C34" s="96" t="s">
        <v>386</v>
      </c>
      <c r="D34" s="1287"/>
      <c r="E34" s="96"/>
      <c r="F34" s="96"/>
      <c r="G34" s="96"/>
      <c r="H34" s="1271" t="s">
        <v>273</v>
      </c>
      <c r="I34" s="490">
        <f>I26+I29+I31</f>
        <v>0</v>
      </c>
      <c r="J34" s="745"/>
      <c r="K34" s="96"/>
      <c r="L34" s="96"/>
      <c r="M34" s="96"/>
      <c r="N34" s="151"/>
    </row>
    <row r="35" spans="1:16" ht="13.5" customHeight="1">
      <c r="A35" s="1271" t="s">
        <v>387</v>
      </c>
      <c r="C35" s="96" t="s">
        <v>388</v>
      </c>
      <c r="D35" s="1287"/>
      <c r="E35" s="96"/>
      <c r="F35" s="96"/>
      <c r="G35" s="96"/>
      <c r="H35" s="1271" t="s">
        <v>273</v>
      </c>
      <c r="I35" s="20">
        <v>8564653</v>
      </c>
      <c r="J35" s="324"/>
      <c r="K35" s="96"/>
      <c r="L35" s="96"/>
      <c r="M35" s="96"/>
      <c r="N35" s="151"/>
    </row>
    <row r="36" spans="1:16" ht="13.5" customHeight="1">
      <c r="A36" s="1271" t="s">
        <v>389</v>
      </c>
      <c r="C36" s="96" t="s">
        <v>390</v>
      </c>
      <c r="D36" s="1287"/>
      <c r="E36" s="96"/>
      <c r="F36" s="96"/>
      <c r="G36" s="96"/>
      <c r="H36" s="1271" t="s">
        <v>273</v>
      </c>
      <c r="I36" s="746">
        <f>IF(I35&gt;0,ROUND((I7/I35)*10000,4)," ")</f>
        <v>203.101</v>
      </c>
      <c r="J36" s="745" t="s">
        <v>263</v>
      </c>
      <c r="K36" s="96"/>
      <c r="L36" s="96"/>
      <c r="M36" s="96"/>
      <c r="N36" s="151"/>
    </row>
    <row r="37" spans="1:16" ht="13.5" customHeight="1">
      <c r="A37" s="1271" t="s">
        <v>391</v>
      </c>
      <c r="C37" s="96" t="s">
        <v>392</v>
      </c>
      <c r="D37" s="1287"/>
      <c r="E37" s="96"/>
      <c r="F37" s="96"/>
      <c r="G37" s="96"/>
      <c r="H37" s="1271" t="s">
        <v>273</v>
      </c>
      <c r="I37" s="338">
        <f>I7+I26+I29+I31</f>
        <v>173949</v>
      </c>
      <c r="J37" s="324"/>
      <c r="K37" s="96"/>
      <c r="L37" s="96"/>
      <c r="M37" s="96"/>
      <c r="N37" s="138"/>
      <c r="O37" s="138"/>
      <c r="P37" s="138"/>
    </row>
    <row r="38" spans="1:16" ht="13.5" customHeight="1">
      <c r="A38" s="1271" t="s">
        <v>393</v>
      </c>
      <c r="C38" s="96" t="s">
        <v>394</v>
      </c>
      <c r="D38" s="1287"/>
      <c r="E38" s="96"/>
      <c r="F38" s="96"/>
      <c r="G38" s="96"/>
      <c r="H38" s="1271" t="s">
        <v>273</v>
      </c>
      <c r="I38" s="746">
        <f>IF(I35&gt;0,ROUND((I37/I35)*10000,4)," ")</f>
        <v>203.101</v>
      </c>
      <c r="J38" s="745" t="s">
        <v>263</v>
      </c>
      <c r="K38" s="96"/>
      <c r="L38" s="96"/>
      <c r="M38" s="96"/>
      <c r="N38" s="138"/>
      <c r="O38" s="138"/>
      <c r="P38" s="138"/>
    </row>
    <row r="39" spans="1:16" ht="5.25" customHeight="1">
      <c r="A39" s="96"/>
      <c r="B39" s="96"/>
      <c r="C39" s="96"/>
      <c r="D39" s="96"/>
      <c r="E39" s="96"/>
      <c r="F39" s="96"/>
      <c r="G39" s="96"/>
      <c r="H39" s="96"/>
      <c r="I39" s="96"/>
      <c r="J39" s="96"/>
      <c r="K39" s="96"/>
      <c r="L39" s="96"/>
      <c r="M39" s="96"/>
      <c r="N39" s="151"/>
    </row>
    <row r="40" spans="1:16" ht="5.25" customHeight="1">
      <c r="A40" s="96"/>
      <c r="B40" s="96"/>
      <c r="C40" s="96"/>
      <c r="D40" s="96"/>
      <c r="E40" s="96"/>
      <c r="F40" s="96"/>
      <c r="G40" s="96"/>
      <c r="H40" s="96"/>
      <c r="I40" s="96"/>
      <c r="J40" s="96"/>
      <c r="K40" s="96"/>
      <c r="L40" s="96"/>
      <c r="M40" s="96"/>
      <c r="N40" s="151"/>
    </row>
    <row r="41" spans="1:16" ht="15" customHeight="1">
      <c r="A41" s="747" t="s">
        <v>261</v>
      </c>
      <c r="B41" s="119"/>
      <c r="C41" s="1785" t="s">
        <v>1045</v>
      </c>
      <c r="D41" s="1785"/>
      <c r="E41" s="1785"/>
      <c r="F41" s="1785"/>
      <c r="G41" s="1785"/>
      <c r="H41" s="1785"/>
      <c r="I41" s="1785"/>
      <c r="J41" s="1785"/>
      <c r="K41" s="1785"/>
      <c r="L41" s="1785"/>
      <c r="M41" s="1787"/>
      <c r="N41"/>
    </row>
    <row r="42" spans="1:16" ht="9" customHeight="1">
      <c r="A42" s="96"/>
      <c r="B42" s="96"/>
      <c r="C42" s="1785"/>
      <c r="D42" s="1785"/>
      <c r="E42" s="1785"/>
      <c r="F42" s="1785"/>
      <c r="G42" s="1785"/>
      <c r="H42" s="1785"/>
      <c r="I42" s="1785"/>
      <c r="J42" s="1785"/>
      <c r="K42" s="1785"/>
      <c r="L42" s="1785"/>
      <c r="M42" s="1787"/>
      <c r="N42"/>
    </row>
    <row r="43" spans="1:16" ht="5.25" customHeight="1">
      <c r="A43" s="96"/>
      <c r="B43" s="96"/>
      <c r="C43" s="96"/>
      <c r="D43" s="96"/>
      <c r="E43" s="96"/>
      <c r="F43" s="96"/>
      <c r="G43" s="96"/>
      <c r="H43" s="96"/>
      <c r="I43" s="96"/>
      <c r="J43" s="96"/>
      <c r="K43" s="96"/>
      <c r="L43" s="96"/>
      <c r="M43" s="96"/>
    </row>
    <row r="44" spans="1:16" ht="14.25" customHeight="1">
      <c r="A44" s="747" t="s">
        <v>263</v>
      </c>
      <c r="B44" s="119"/>
      <c r="C44" s="1785" t="s">
        <v>1140</v>
      </c>
      <c r="D44" s="1786"/>
      <c r="E44" s="1786"/>
      <c r="F44" s="1786"/>
      <c r="G44" s="1786"/>
      <c r="H44" s="1786"/>
      <c r="I44" s="1786"/>
      <c r="J44" s="1786"/>
      <c r="K44" s="1786"/>
      <c r="L44" s="1786"/>
      <c r="M44" s="1786"/>
    </row>
    <row r="45" spans="1:16" ht="9.75" customHeight="1">
      <c r="A45" s="96"/>
      <c r="B45" s="96"/>
      <c r="C45" s="1786"/>
      <c r="D45" s="1786"/>
      <c r="E45" s="1786"/>
      <c r="F45" s="1786"/>
      <c r="G45" s="1786"/>
      <c r="H45" s="1786"/>
      <c r="I45" s="1786"/>
      <c r="J45" s="1786"/>
      <c r="K45" s="1786"/>
      <c r="L45" s="1786"/>
      <c r="M45" s="1786"/>
    </row>
    <row r="46" spans="1:16" ht="5.25" customHeight="1">
      <c r="A46" s="96"/>
      <c r="B46" s="96"/>
      <c r="C46" s="96"/>
      <c r="D46" s="96"/>
      <c r="E46" s="96"/>
      <c r="F46" s="96"/>
      <c r="G46" s="96"/>
      <c r="H46" s="96"/>
      <c r="I46" s="96"/>
      <c r="J46" s="96"/>
      <c r="K46" s="96"/>
      <c r="L46" s="96"/>
      <c r="M46" s="96"/>
      <c r="N46" s="151"/>
    </row>
    <row r="47" spans="1:16" ht="15" customHeight="1">
      <c r="A47" s="747"/>
      <c r="B47" s="119"/>
      <c r="C47" s="1785"/>
      <c r="D47" s="1785"/>
      <c r="E47" s="1785"/>
      <c r="F47" s="1785"/>
      <c r="G47" s="1785"/>
      <c r="H47" s="1785"/>
      <c r="I47" s="1785"/>
      <c r="J47" s="1785"/>
      <c r="K47" s="1785"/>
      <c r="L47" s="1785"/>
      <c r="M47" s="1787"/>
      <c r="N47"/>
    </row>
    <row r="48" spans="1:16" ht="9" customHeight="1">
      <c r="A48" s="96"/>
      <c r="B48" s="96"/>
      <c r="C48" s="1785"/>
      <c r="D48" s="1785"/>
      <c r="E48" s="1785"/>
      <c r="F48" s="1785"/>
      <c r="G48" s="1785"/>
      <c r="H48" s="1785"/>
      <c r="I48" s="1785"/>
      <c r="J48" s="1785"/>
      <c r="K48" s="1785"/>
      <c r="L48" s="1785"/>
      <c r="M48" s="1787"/>
      <c r="N48"/>
    </row>
    <row r="49" spans="1:13" ht="5.25" customHeight="1">
      <c r="A49" s="96"/>
      <c r="B49" s="96"/>
      <c r="C49" s="96"/>
      <c r="D49" s="96"/>
      <c r="E49" s="96"/>
      <c r="F49" s="96"/>
      <c r="G49" s="96"/>
      <c r="H49" s="96"/>
      <c r="I49" s="96"/>
      <c r="J49" s="96"/>
      <c r="K49" s="96"/>
      <c r="L49" s="96"/>
      <c r="M49" s="96"/>
    </row>
    <row r="50" spans="1:13" ht="14.25" customHeight="1">
      <c r="A50" s="747"/>
      <c r="B50" s="119"/>
      <c r="C50" s="1785"/>
      <c r="D50" s="1786"/>
      <c r="E50" s="1786"/>
      <c r="F50" s="1786"/>
      <c r="G50" s="1786"/>
      <c r="H50" s="1786"/>
      <c r="I50" s="1786"/>
      <c r="J50" s="1786"/>
      <c r="K50" s="1786"/>
      <c r="L50" s="1786"/>
      <c r="M50" s="1786"/>
    </row>
    <row r="51" spans="1:13" ht="9.75" customHeight="1">
      <c r="A51" s="96"/>
      <c r="B51" s="96"/>
      <c r="C51" s="1786"/>
      <c r="D51" s="1786"/>
      <c r="E51" s="1786"/>
      <c r="F51" s="1786"/>
      <c r="G51" s="1786"/>
      <c r="H51" s="1786"/>
      <c r="I51" s="1786"/>
      <c r="J51" s="1786"/>
      <c r="K51" s="1786"/>
      <c r="L51" s="1786"/>
      <c r="M51" s="1786"/>
    </row>
    <row r="52" spans="1:13">
      <c r="A52" s="138"/>
      <c r="B52" s="138"/>
      <c r="C52" s="138"/>
      <c r="D52" s="138"/>
      <c r="E52" s="138"/>
      <c r="F52" s="138"/>
      <c r="G52" s="138"/>
      <c r="H52" s="138"/>
      <c r="I52" s="138"/>
      <c r="J52" s="138"/>
      <c r="K52" s="138"/>
      <c r="L52" s="138"/>
      <c r="M52" s="138"/>
    </row>
    <row r="53" spans="1:13">
      <c r="A53" s="138"/>
      <c r="B53" s="138"/>
      <c r="C53" s="138"/>
      <c r="D53" s="138"/>
      <c r="E53" s="138"/>
      <c r="F53" s="138"/>
      <c r="G53" s="138"/>
      <c r="H53" s="138"/>
      <c r="I53" s="138"/>
      <c r="J53" s="138"/>
      <c r="K53" s="138"/>
      <c r="L53" s="138"/>
      <c r="M53" s="138"/>
    </row>
  </sheetData>
  <sheetProtection sheet="1" formatCells="0" formatColumns="0" formatRows="0"/>
  <mergeCells count="17">
    <mergeCell ref="F6:G8"/>
    <mergeCell ref="A2:D2"/>
    <mergeCell ref="E1:G1"/>
    <mergeCell ref="I1:K1"/>
    <mergeCell ref="C5:G5"/>
    <mergeCell ref="C50:M51"/>
    <mergeCell ref="C47:M48"/>
    <mergeCell ref="K8:M10"/>
    <mergeCell ref="C11:E11"/>
    <mergeCell ref="C13:G13"/>
    <mergeCell ref="C41:M42"/>
    <mergeCell ref="C44:M45"/>
    <mergeCell ref="C16:G16"/>
    <mergeCell ref="D18:E18"/>
    <mergeCell ref="D19:G19"/>
    <mergeCell ref="D22:E22"/>
    <mergeCell ref="D23:E23"/>
  </mergeCells>
  <dataValidations count="2">
    <dataValidation allowBlank="1" showInputMessage="1" showErrorMessage="1" promptTitle="Deduction for discontinued " prompt="Enter amounts as positve numbers to be subtracted from the TNT base for programs no longer offered by the district, or programs that are no longer funded through an additional primary property tax levy. " sqref="I6" xr:uid="{00000000-0002-0000-0D00-000000000000}"/>
    <dataValidation allowBlank="1" showInputMessage="1" showErrorMessage="1" promptTitle="Desegregation" prompt="Beginning in FY 2019, Desegregation is levied as a secondary tax." sqref="I11" xr:uid="{00000000-0002-0000-0D00-000001000000}"/>
  </dataValidations>
  <hyperlinks>
    <hyperlink ref="A13" r:id="rId1" display="file:///C:\Users\ryoung2\AppData\Local\Microsoft\Windows\INetCache\Content.Outlook\Prohibited%20formula%20characters\Files%20from%20ADE%203-27-23\TruthinTaxl6" xr:uid="{00000000-0004-0000-0D00-000000000000}"/>
    <hyperlink ref="A14" r:id="rId2" display="file:///C:\Users\ryoung2\AppData\Local\Microsoft\Windows\INetCache\Content.Outlook\Prohibited%20formula%20characters\Files%20from%20ADE%203-27-23\TruthinTaxl7" xr:uid="{00000000-0004-0000-0D00-000001000000}"/>
    <hyperlink ref="A18" r:id="rId3" display="10." xr:uid="{00000000-0004-0000-0D00-000002000000}"/>
    <hyperlink ref="A6" location="TruthinTaxl2" display="2." xr:uid="{00000000-0004-0000-0D00-000003000000}"/>
    <hyperlink ref="C17" location="TruthinTaxl8a" display="a." xr:uid="{00000000-0004-0000-0D00-000004000000}"/>
    <hyperlink ref="F6:G8" location="TruthinTaxl2" display="TruthinTaxl2" xr:uid="{00000000-0004-0000-0D00-000005000000}"/>
    <hyperlink ref="A5" r:id="rId4" display="TruthInTaxl1" xr:uid="{00000000-0004-0000-0D00-000006000000}"/>
    <hyperlink ref="A28" location="TNTWSl12" display="12." xr:uid="{00000000-0004-0000-0D00-000007000000}"/>
    <hyperlink ref="A2" location="TruthinTax" display="Instructions" xr:uid="{00000000-0004-0000-0D00-000008000000}"/>
  </hyperlinks>
  <printOptions horizontalCentered="1"/>
  <pageMargins left="0.25" right="0.25" top="0.25" bottom="0.25" header="0" footer="0.15"/>
  <pageSetup paperSize="5" scale="96" orientation="portrait" r:id="rId5"/>
  <headerFooter alignWithMargins="0">
    <oddFooter>&amp;L&amp;"Times New Roman,Bold"&amp;9Rev. 5/26&amp;K000000 Arizona Department of Education and Auditor General&amp;C&amp;"Times New Roman,Regular"&amp;9&amp;D  &amp;T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95373-C14A-4053-9F73-42C99A7E16DD}">
  <sheetPr codeName="Sheet15">
    <pageSetUpPr fitToPage="1"/>
  </sheetPr>
  <dimension ref="A1:BJ40"/>
  <sheetViews>
    <sheetView showGridLines="0" topLeftCell="H7" zoomScaleNormal="100" workbookViewId="0">
      <selection activeCell="C26" sqref="C26:C29"/>
    </sheetView>
  </sheetViews>
  <sheetFormatPr defaultColWidth="9.1796875" defaultRowHeight="13.2"/>
  <cols>
    <col min="1" max="1" width="2" style="1224" customWidth="1"/>
    <col min="2" max="2" width="65" style="1224" customWidth="1"/>
    <col min="3" max="3" width="15" style="1224" customWidth="1"/>
    <col min="4" max="4" width="16.81640625" style="1224" customWidth="1"/>
    <col min="5" max="5" width="17.54296875" style="1224" customWidth="1"/>
    <col min="6" max="6" width="20" style="1224" customWidth="1"/>
    <col min="7" max="7" width="16.453125" style="1224" customWidth="1"/>
    <col min="8" max="8" width="13" style="1224" customWidth="1"/>
    <col min="9" max="9" width="12" style="1224" customWidth="1"/>
    <col min="10" max="10" width="13.81640625" style="1224" customWidth="1"/>
    <col min="11" max="11" width="14" style="1224" customWidth="1"/>
    <col min="12" max="12" width="18.81640625" style="1224" customWidth="1"/>
    <col min="13" max="13" width="13.453125" style="1224" customWidth="1"/>
    <col min="14" max="14" width="13" style="1224" customWidth="1"/>
    <col min="15" max="15" width="11.1796875" style="1224" customWidth="1"/>
    <col min="16" max="16" width="10.81640625" style="1224" customWidth="1"/>
    <col min="17" max="17" width="11.54296875" style="1224" customWidth="1"/>
    <col min="18" max="20" width="9.1796875" style="1224" customWidth="1"/>
    <col min="21" max="16384" width="9.1796875" style="1224"/>
  </cols>
  <sheetData>
    <row r="1" spans="1:62" s="1217" customFormat="1" ht="11.25" customHeight="1">
      <c r="B1" s="1218" t="s">
        <v>56</v>
      </c>
      <c r="C1" s="1811" t="str">
        <f>DistrictName</f>
        <v>Pomerene Elementary School District</v>
      </c>
      <c r="D1" s="1811"/>
      <c r="E1" s="1378" t="s">
        <v>57</v>
      </c>
      <c r="F1" s="1812" t="str">
        <f>Cover!S1</f>
        <v>020364000</v>
      </c>
      <c r="G1" s="1812"/>
      <c r="L1" s="1219"/>
      <c r="M1" s="1220"/>
      <c r="N1" s="1220"/>
      <c r="O1" s="1220"/>
      <c r="P1" s="1220"/>
      <c r="Q1" s="1220"/>
      <c r="R1" s="1220"/>
      <c r="S1" s="1220"/>
      <c r="T1" s="1220"/>
      <c r="U1" s="1220"/>
      <c r="V1" s="1220"/>
      <c r="W1" s="1220"/>
      <c r="X1" s="1220"/>
      <c r="Y1" s="1220"/>
      <c r="Z1" s="1220"/>
      <c r="AA1" s="1220"/>
      <c r="AB1" s="1220"/>
      <c r="AC1" s="1220"/>
      <c r="AD1" s="1220"/>
      <c r="AE1" s="1220"/>
      <c r="AF1" s="1220"/>
      <c r="AG1" s="1220"/>
      <c r="AH1" s="1220"/>
      <c r="AI1" s="1220"/>
      <c r="AJ1" s="1220"/>
      <c r="AK1" s="1220"/>
      <c r="AL1" s="1220"/>
      <c r="AM1" s="1220"/>
      <c r="AN1" s="1220"/>
      <c r="AO1" s="1220"/>
      <c r="AP1" s="1220"/>
      <c r="AQ1" s="1220"/>
      <c r="AR1" s="1220"/>
      <c r="AS1" s="1220"/>
      <c r="AT1" s="1220"/>
      <c r="AU1" s="1220"/>
      <c r="AV1" s="1220"/>
      <c r="AW1" s="1220"/>
      <c r="AX1" s="1220"/>
      <c r="AY1" s="1220"/>
      <c r="AZ1" s="1220"/>
      <c r="BA1" s="1220"/>
      <c r="BB1" s="1220"/>
      <c r="BC1" s="1220"/>
      <c r="BD1" s="1220"/>
      <c r="BE1" s="1220"/>
      <c r="BF1" s="1220"/>
      <c r="BG1" s="1220"/>
      <c r="BH1" s="1220"/>
      <c r="BI1" s="1220"/>
      <c r="BJ1" s="1220"/>
    </row>
    <row r="2" spans="1:62" s="1217" customFormat="1" ht="11.25" customHeight="1">
      <c r="C2" s="1221"/>
      <c r="D2" s="1221"/>
      <c r="E2" s="1221"/>
      <c r="F2" s="1222"/>
      <c r="G2" s="1223"/>
      <c r="L2" s="1219"/>
      <c r="M2" s="1220"/>
      <c r="N2" s="1220"/>
      <c r="O2" s="1220"/>
      <c r="P2" s="1220"/>
      <c r="Q2" s="1220"/>
      <c r="R2" s="1220"/>
      <c r="S2" s="1220"/>
      <c r="T2" s="1220"/>
      <c r="U2" s="1220"/>
      <c r="V2" s="1220"/>
      <c r="W2" s="1220"/>
      <c r="X2" s="1220"/>
      <c r="Y2" s="1220"/>
      <c r="Z2" s="1220"/>
      <c r="AA2" s="1220"/>
      <c r="AB2" s="1220"/>
      <c r="AC2" s="1220"/>
      <c r="AD2" s="1220"/>
      <c r="AE2" s="1220"/>
      <c r="AF2" s="1220"/>
      <c r="AG2" s="1220"/>
      <c r="AH2" s="1220"/>
      <c r="AI2" s="1220"/>
      <c r="AJ2" s="1220"/>
      <c r="AK2" s="1220"/>
      <c r="AL2" s="1220"/>
      <c r="AM2" s="1220"/>
      <c r="AN2" s="1220"/>
      <c r="AO2" s="1220"/>
      <c r="AP2" s="1220"/>
      <c r="AQ2" s="1220"/>
      <c r="AR2" s="1220"/>
      <c r="AS2" s="1220"/>
      <c r="AT2" s="1220"/>
      <c r="AU2" s="1220"/>
      <c r="AV2" s="1220"/>
      <c r="AW2" s="1220"/>
      <c r="AX2" s="1220"/>
      <c r="AY2" s="1220"/>
      <c r="AZ2" s="1220"/>
      <c r="BA2" s="1220"/>
      <c r="BB2" s="1220"/>
      <c r="BC2" s="1220"/>
      <c r="BD2" s="1220"/>
      <c r="BE2" s="1220"/>
      <c r="BF2" s="1220"/>
      <c r="BG2" s="1220"/>
      <c r="BH2" s="1220"/>
      <c r="BI2" s="1220"/>
      <c r="BJ2" s="1220"/>
    </row>
    <row r="3" spans="1:62" s="1217" customFormat="1" ht="16.5" customHeight="1">
      <c r="A3" s="1813" t="s">
        <v>1319</v>
      </c>
      <c r="B3" s="1813"/>
      <c r="C3" s="1813"/>
      <c r="D3" s="1813"/>
      <c r="E3" s="1813"/>
      <c r="F3" s="1813"/>
      <c r="G3" s="1813"/>
      <c r="H3" s="1813"/>
      <c r="I3" s="1813"/>
      <c r="L3" s="1219"/>
      <c r="M3" s="1220"/>
      <c r="N3" s="1220"/>
      <c r="O3" s="1220"/>
      <c r="P3" s="1220"/>
      <c r="Q3" s="1220"/>
      <c r="R3" s="1220"/>
      <c r="S3" s="1220"/>
      <c r="T3" s="1220"/>
      <c r="U3" s="1220"/>
      <c r="V3" s="1220"/>
      <c r="W3" s="1220"/>
      <c r="X3" s="1220"/>
      <c r="Y3" s="1220"/>
      <c r="Z3" s="1220"/>
      <c r="AA3" s="1220"/>
      <c r="AB3" s="1220"/>
      <c r="AC3" s="1220"/>
      <c r="AD3" s="1220"/>
      <c r="AE3" s="1220"/>
      <c r="AF3" s="1220"/>
      <c r="AG3" s="1220"/>
      <c r="AH3" s="1220"/>
      <c r="AI3" s="1220"/>
      <c r="AJ3" s="1220"/>
      <c r="AK3" s="1220"/>
      <c r="AL3" s="1220"/>
      <c r="AM3" s="1220"/>
      <c r="AN3" s="1220"/>
      <c r="AO3" s="1220"/>
      <c r="AP3" s="1220"/>
      <c r="AQ3" s="1220"/>
      <c r="AR3" s="1220"/>
      <c r="AS3" s="1220"/>
      <c r="AT3" s="1220"/>
      <c r="AU3" s="1220"/>
      <c r="AV3" s="1220"/>
      <c r="AW3" s="1220"/>
      <c r="AX3" s="1220"/>
      <c r="AY3" s="1220"/>
      <c r="AZ3" s="1220"/>
      <c r="BA3" s="1220"/>
      <c r="BB3" s="1220"/>
      <c r="BC3" s="1220"/>
      <c r="BD3" s="1220"/>
      <c r="BE3" s="1220"/>
      <c r="BF3" s="1220"/>
      <c r="BG3" s="1220"/>
      <c r="BH3" s="1220"/>
      <c r="BI3" s="1220"/>
      <c r="BJ3" s="1220"/>
    </row>
    <row r="4" spans="1:62" s="1217" customFormat="1" ht="11.25" customHeight="1">
      <c r="A4" s="1813"/>
      <c r="B4" s="1813"/>
      <c r="C4" s="1813"/>
      <c r="D4" s="1813"/>
      <c r="E4" s="1813"/>
      <c r="F4" s="1813"/>
      <c r="G4" s="1813"/>
      <c r="H4" s="1813"/>
      <c r="I4" s="1813"/>
      <c r="J4" s="1224"/>
      <c r="K4" s="1224"/>
      <c r="L4" s="1224"/>
      <c r="M4" s="1220"/>
      <c r="N4" s="1220"/>
      <c r="O4" s="1220"/>
      <c r="P4" s="1220"/>
      <c r="Q4" s="1220"/>
      <c r="R4" s="1220"/>
      <c r="S4" s="1220"/>
      <c r="T4" s="1220"/>
      <c r="U4" s="1220"/>
      <c r="V4" s="1220"/>
      <c r="W4" s="1220"/>
      <c r="X4" s="1220"/>
      <c r="Y4" s="1220"/>
      <c r="Z4" s="1220"/>
      <c r="AA4" s="1220"/>
      <c r="AB4" s="1220"/>
      <c r="AC4" s="1220"/>
      <c r="AD4" s="1220"/>
      <c r="AE4" s="1220"/>
      <c r="AF4" s="1220"/>
      <c r="AG4" s="1220"/>
      <c r="AH4" s="1220"/>
      <c r="AI4" s="1220"/>
      <c r="AJ4" s="1220"/>
      <c r="AK4" s="1220"/>
      <c r="AL4" s="1220"/>
      <c r="AM4" s="1220"/>
      <c r="AN4" s="1220"/>
      <c r="AO4" s="1220"/>
      <c r="AP4" s="1220"/>
      <c r="AQ4" s="1220"/>
      <c r="AR4" s="1220"/>
      <c r="AS4" s="1220"/>
      <c r="AT4" s="1220"/>
      <c r="AU4" s="1220"/>
      <c r="AV4" s="1220"/>
      <c r="AW4" s="1220"/>
      <c r="AX4" s="1220"/>
      <c r="AY4" s="1220"/>
      <c r="AZ4" s="1220"/>
      <c r="BA4" s="1220"/>
      <c r="BB4" s="1220"/>
      <c r="BC4" s="1220"/>
      <c r="BD4" s="1220"/>
      <c r="BE4" s="1220"/>
      <c r="BF4" s="1220"/>
      <c r="BG4" s="1220"/>
      <c r="BH4" s="1220"/>
      <c r="BI4" s="1220"/>
      <c r="BJ4" s="1220"/>
    </row>
    <row r="5" spans="1:62" s="1217" customFormat="1" ht="11.25" customHeight="1">
      <c r="A5" s="1813"/>
      <c r="B5" s="1813"/>
      <c r="C5" s="1813"/>
      <c r="D5" s="1813"/>
      <c r="E5" s="1813"/>
      <c r="F5" s="1813"/>
      <c r="G5" s="1813"/>
      <c r="H5" s="1813"/>
      <c r="I5" s="1813"/>
      <c r="J5" s="1224"/>
      <c r="K5" s="1224"/>
      <c r="L5" s="1224"/>
      <c r="M5" s="1220"/>
      <c r="N5" s="1220"/>
      <c r="O5" s="1220"/>
      <c r="P5" s="1220"/>
      <c r="Q5" s="1220"/>
      <c r="R5" s="1220"/>
      <c r="S5" s="1220"/>
      <c r="T5" s="1220"/>
      <c r="U5" s="1220"/>
      <c r="V5" s="1220"/>
      <c r="W5" s="1220"/>
      <c r="X5" s="1220"/>
      <c r="Y5" s="1220"/>
      <c r="Z5" s="1220"/>
      <c r="AA5" s="1220"/>
      <c r="AB5" s="1220"/>
      <c r="AC5" s="1220"/>
      <c r="AD5" s="1220"/>
      <c r="AE5" s="1220"/>
      <c r="AF5" s="1220"/>
      <c r="AG5" s="1220"/>
      <c r="AH5" s="1220"/>
      <c r="AI5" s="1220"/>
      <c r="AJ5" s="1220"/>
      <c r="AK5" s="1220"/>
      <c r="AL5" s="1220"/>
      <c r="AM5" s="1220"/>
      <c r="AN5" s="1220"/>
      <c r="AO5" s="1220"/>
      <c r="AP5" s="1220"/>
      <c r="AQ5" s="1220"/>
      <c r="AR5" s="1220"/>
      <c r="AS5" s="1220"/>
      <c r="AT5" s="1220"/>
      <c r="AU5" s="1220"/>
      <c r="AV5" s="1220"/>
      <c r="AW5" s="1220"/>
      <c r="AX5" s="1220"/>
      <c r="AY5" s="1220"/>
      <c r="AZ5" s="1220"/>
      <c r="BA5" s="1220"/>
      <c r="BB5" s="1220"/>
      <c r="BC5" s="1220"/>
      <c r="BD5" s="1220"/>
      <c r="BE5" s="1220"/>
      <c r="BF5" s="1220"/>
      <c r="BG5" s="1220"/>
      <c r="BH5" s="1220"/>
      <c r="BI5" s="1220"/>
      <c r="BJ5" s="1220"/>
    </row>
    <row r="6" spans="1:62" ht="15" customHeight="1">
      <c r="A6" s="1814" t="s">
        <v>691</v>
      </c>
      <c r="B6" s="1815"/>
      <c r="C6" s="1816" t="s">
        <v>395</v>
      </c>
      <c r="D6" s="1817"/>
      <c r="E6" s="1817"/>
      <c r="F6" s="1817"/>
      <c r="G6" s="1817"/>
      <c r="H6" s="1817"/>
      <c r="I6" s="1817"/>
      <c r="J6" s="1817"/>
      <c r="K6" s="1817"/>
      <c r="L6" s="1817"/>
      <c r="M6" s="1817"/>
      <c r="N6" s="1817"/>
      <c r="O6" s="1817"/>
      <c r="P6" s="1817"/>
      <c r="Q6" s="1818"/>
    </row>
    <row r="7" spans="1:62" ht="28.5" customHeight="1">
      <c r="B7" s="1225"/>
      <c r="C7" s="1805" t="s">
        <v>396</v>
      </c>
      <c r="D7" s="1806"/>
      <c r="E7" s="1807"/>
      <c r="F7" s="1808" t="s">
        <v>1138</v>
      </c>
      <c r="G7" s="1806"/>
      <c r="H7" s="1806"/>
      <c r="I7" s="1807"/>
      <c r="J7" s="1808" t="s">
        <v>1137</v>
      </c>
      <c r="K7" s="1806"/>
      <c r="L7" s="1806"/>
      <c r="M7" s="1794" t="s">
        <v>397</v>
      </c>
      <c r="N7" s="1794" t="s">
        <v>398</v>
      </c>
      <c r="O7" s="1794" t="s">
        <v>399</v>
      </c>
      <c r="P7" s="1809" t="s">
        <v>400</v>
      </c>
      <c r="Q7" s="1794" t="s">
        <v>401</v>
      </c>
    </row>
    <row r="8" spans="1:62" ht="58.5" customHeight="1">
      <c r="A8" s="1795" t="s">
        <v>1320</v>
      </c>
      <c r="B8" s="1795"/>
      <c r="C8" s="1226" t="s">
        <v>402</v>
      </c>
      <c r="D8" s="1226" t="s">
        <v>403</v>
      </c>
      <c r="E8" s="1226" t="s">
        <v>404</v>
      </c>
      <c r="F8" s="1226" t="s">
        <v>405</v>
      </c>
      <c r="G8" s="1227" t="s">
        <v>406</v>
      </c>
      <c r="H8" s="1226" t="s">
        <v>407</v>
      </c>
      <c r="I8" s="1226" t="s">
        <v>408</v>
      </c>
      <c r="J8" s="1226" t="s">
        <v>409</v>
      </c>
      <c r="K8" s="1226" t="s">
        <v>410</v>
      </c>
      <c r="L8" s="1226" t="s">
        <v>411</v>
      </c>
      <c r="M8" s="1794"/>
      <c r="N8" s="1794"/>
      <c r="O8" s="1794"/>
      <c r="P8" s="1810"/>
      <c r="Q8" s="1794"/>
      <c r="W8" s="1228" t="s">
        <v>412</v>
      </c>
    </row>
    <row r="9" spans="1:62" ht="7.5" customHeight="1">
      <c r="A9" s="1229"/>
      <c r="B9" s="1229"/>
      <c r="C9" s="1230"/>
      <c r="D9" s="1230"/>
      <c r="E9" s="1230"/>
      <c r="F9" s="1230"/>
      <c r="G9" s="1231"/>
      <c r="H9" s="1231"/>
      <c r="I9" s="1231"/>
      <c r="J9" s="1231"/>
      <c r="K9" s="1231"/>
      <c r="L9" s="1231"/>
      <c r="M9" s="1232"/>
      <c r="N9" s="1232"/>
      <c r="O9" s="1232"/>
      <c r="P9" s="1232"/>
      <c r="Q9" s="1232"/>
      <c r="W9" s="1228"/>
    </row>
    <row r="10" spans="1:62" ht="15" customHeight="1">
      <c r="A10" s="1233" t="s">
        <v>6</v>
      </c>
      <c r="B10" s="1450" t="s">
        <v>1321</v>
      </c>
      <c r="C10" s="1235">
        <v>364222</v>
      </c>
      <c r="D10" s="1235">
        <v>189334</v>
      </c>
      <c r="E10" s="1235">
        <v>0</v>
      </c>
      <c r="F10" s="1235">
        <v>0</v>
      </c>
      <c r="G10" s="1235">
        <v>0</v>
      </c>
      <c r="H10" s="1235">
        <v>45415</v>
      </c>
      <c r="I10" s="1235">
        <v>0</v>
      </c>
      <c r="J10" s="1235">
        <v>189334</v>
      </c>
      <c r="K10" s="1235">
        <v>2181</v>
      </c>
      <c r="L10" s="1235">
        <v>0</v>
      </c>
      <c r="M10" s="1235">
        <v>0</v>
      </c>
      <c r="N10" s="1235">
        <v>0</v>
      </c>
      <c r="O10" s="1235">
        <v>0</v>
      </c>
      <c r="P10" s="1235">
        <v>0</v>
      </c>
      <c r="Q10" s="1236">
        <f>SUM(C10:P10)</f>
        <v>790486</v>
      </c>
      <c r="W10" s="1228" t="s">
        <v>413</v>
      </c>
    </row>
    <row r="11" spans="1:62" ht="15" customHeight="1">
      <c r="A11" s="1237"/>
      <c r="B11" s="1234" t="s">
        <v>1322</v>
      </c>
      <c r="C11" s="1238"/>
      <c r="D11" s="1238"/>
      <c r="E11" s="1238"/>
      <c r="F11" s="1238"/>
      <c r="W11" s="1228"/>
    </row>
    <row r="12" spans="1:62" ht="7.5" customHeight="1">
      <c r="A12" s="1239"/>
      <c r="B12" s="1234"/>
      <c r="C12" s="1231"/>
      <c r="D12" s="1231"/>
      <c r="E12" s="1231"/>
      <c r="F12" s="1231"/>
      <c r="W12" s="1228"/>
    </row>
    <row r="13" spans="1:62" ht="15" customHeight="1">
      <c r="A13" s="1240" t="s">
        <v>8</v>
      </c>
      <c r="B13" s="1241" t="s">
        <v>1323</v>
      </c>
      <c r="C13" s="1242"/>
      <c r="D13" s="1242"/>
      <c r="E13" s="1242"/>
      <c r="F13" s="1243"/>
      <c r="W13" s="1228"/>
    </row>
    <row r="14" spans="1:62" ht="15" customHeight="1">
      <c r="A14" s="1239"/>
      <c r="B14" s="1450" t="s">
        <v>1324</v>
      </c>
      <c r="C14" s="1235">
        <v>1099370</v>
      </c>
      <c r="D14" s="1235">
        <v>42903</v>
      </c>
      <c r="E14" s="1235">
        <v>0</v>
      </c>
      <c r="F14" s="1235">
        <v>0</v>
      </c>
      <c r="G14" s="1235">
        <v>0</v>
      </c>
      <c r="H14" s="1235">
        <v>0</v>
      </c>
      <c r="I14" s="1235">
        <v>0</v>
      </c>
      <c r="J14" s="1235">
        <v>107317</v>
      </c>
      <c r="K14" s="1235">
        <v>161936</v>
      </c>
      <c r="L14" s="1235">
        <v>0</v>
      </c>
      <c r="M14" s="1235">
        <v>0</v>
      </c>
      <c r="N14" s="1235">
        <v>0</v>
      </c>
      <c r="O14" s="1235">
        <v>0</v>
      </c>
      <c r="P14" s="1235">
        <v>0</v>
      </c>
      <c r="Q14" s="1236">
        <f>SUM(C14:P14)</f>
        <v>1411526</v>
      </c>
      <c r="W14" s="1228"/>
    </row>
    <row r="15" spans="1:62" ht="15" customHeight="1">
      <c r="A15" s="1239"/>
      <c r="B15" s="1450" t="s">
        <v>1389</v>
      </c>
      <c r="C15" s="1235">
        <f>1148449+63682</f>
        <v>1212131</v>
      </c>
      <c r="D15" s="1235">
        <f>74792+19013</f>
        <v>93805</v>
      </c>
      <c r="E15" s="1235">
        <v>0</v>
      </c>
      <c r="F15" s="1235">
        <v>0</v>
      </c>
      <c r="G15" s="1235">
        <v>0</v>
      </c>
      <c r="H15" s="1235">
        <v>0</v>
      </c>
      <c r="I15" s="1235">
        <v>0</v>
      </c>
      <c r="J15" s="1235">
        <v>119260</v>
      </c>
      <c r="K15" s="1235">
        <v>184860</v>
      </c>
      <c r="L15" s="1235">
        <v>0</v>
      </c>
      <c r="M15" s="1235">
        <v>0</v>
      </c>
      <c r="N15" s="1235">
        <v>0</v>
      </c>
      <c r="O15" s="1235">
        <v>0</v>
      </c>
      <c r="P15" s="1235">
        <v>0</v>
      </c>
      <c r="Q15" s="1236">
        <f t="shared" ref="Q15:Q17" si="0">SUM(C15:P15)</f>
        <v>1610056</v>
      </c>
      <c r="W15" s="1228"/>
    </row>
    <row r="16" spans="1:62" ht="15" customHeight="1">
      <c r="A16" s="1239"/>
      <c r="B16" s="1234"/>
      <c r="C16" s="1244"/>
      <c r="D16" s="1244"/>
      <c r="E16" s="1244"/>
      <c r="F16" s="1244"/>
      <c r="G16" s="1244"/>
      <c r="H16" s="1244"/>
      <c r="I16" s="1244"/>
      <c r="J16" s="1244"/>
      <c r="K16" s="1244"/>
      <c r="L16" s="1244"/>
      <c r="M16" s="1244"/>
      <c r="N16" s="1244"/>
      <c r="O16" s="1244"/>
      <c r="P16" s="1244"/>
      <c r="Q16" s="1244"/>
      <c r="W16" s="1228"/>
    </row>
    <row r="17" spans="1:23" ht="15" customHeight="1">
      <c r="A17" s="1240" t="s">
        <v>22</v>
      </c>
      <c r="B17" s="1241" t="s">
        <v>1325</v>
      </c>
      <c r="C17" s="1245">
        <f t="shared" ref="C17:P17" si="1">C10+C14-C15</f>
        <v>251461</v>
      </c>
      <c r="D17" s="1245">
        <f t="shared" si="1"/>
        <v>138432</v>
      </c>
      <c r="E17" s="1245">
        <f t="shared" si="1"/>
        <v>0</v>
      </c>
      <c r="F17" s="1245">
        <f t="shared" si="1"/>
        <v>0</v>
      </c>
      <c r="G17" s="1245">
        <f t="shared" si="1"/>
        <v>0</v>
      </c>
      <c r="H17" s="1245">
        <f t="shared" si="1"/>
        <v>45415</v>
      </c>
      <c r="I17" s="1245">
        <f t="shared" si="1"/>
        <v>0</v>
      </c>
      <c r="J17" s="1245">
        <f t="shared" si="1"/>
        <v>177391</v>
      </c>
      <c r="K17" s="1245">
        <f t="shared" si="1"/>
        <v>-20743</v>
      </c>
      <c r="L17" s="1245">
        <f t="shared" si="1"/>
        <v>0</v>
      </c>
      <c r="M17" s="1245">
        <f t="shared" si="1"/>
        <v>0</v>
      </c>
      <c r="N17" s="1245">
        <f t="shared" si="1"/>
        <v>0</v>
      </c>
      <c r="O17" s="1245">
        <f t="shared" si="1"/>
        <v>0</v>
      </c>
      <c r="P17" s="1245">
        <f t="shared" si="1"/>
        <v>0</v>
      </c>
      <c r="Q17" s="1236">
        <f t="shared" si="0"/>
        <v>591956</v>
      </c>
      <c r="W17" s="1228"/>
    </row>
    <row r="18" spans="1:23" ht="15" customHeight="1">
      <c r="A18" s="1246"/>
      <c r="B18" s="1450" t="s">
        <v>414</v>
      </c>
      <c r="C18" s="1235">
        <v>0</v>
      </c>
      <c r="D18" s="1235">
        <v>0</v>
      </c>
      <c r="E18" s="1235">
        <v>0</v>
      </c>
      <c r="F18" s="1235">
        <v>0</v>
      </c>
      <c r="G18" s="1235">
        <v>0</v>
      </c>
      <c r="H18" s="1235">
        <v>0</v>
      </c>
      <c r="I18" s="1235">
        <v>0</v>
      </c>
      <c r="J18" s="1235">
        <v>0</v>
      </c>
      <c r="K18" s="1235">
        <v>-20743</v>
      </c>
      <c r="L18" s="1235">
        <v>0</v>
      </c>
      <c r="M18" s="1235">
        <v>0</v>
      </c>
      <c r="N18" s="1235">
        <v>0</v>
      </c>
      <c r="O18" s="1235">
        <v>0</v>
      </c>
      <c r="P18" s="1235">
        <v>0</v>
      </c>
      <c r="Q18" s="1236">
        <f>SUM(C18:P18)</f>
        <v>-20743</v>
      </c>
      <c r="W18" s="1228"/>
    </row>
    <row r="19" spans="1:23" ht="15" customHeight="1">
      <c r="A19" s="1246"/>
      <c r="B19" s="1450" t="s">
        <v>415</v>
      </c>
      <c r="C19" s="1235">
        <v>0</v>
      </c>
      <c r="D19" s="1235">
        <v>0</v>
      </c>
      <c r="E19" s="1235">
        <v>0</v>
      </c>
      <c r="F19" s="1235">
        <v>0</v>
      </c>
      <c r="G19" s="1235">
        <v>0</v>
      </c>
      <c r="H19" s="1235">
        <v>0</v>
      </c>
      <c r="I19" s="1235">
        <v>0</v>
      </c>
      <c r="J19" s="1235">
        <v>0</v>
      </c>
      <c r="K19" s="1235">
        <v>0</v>
      </c>
      <c r="L19" s="1235">
        <v>0</v>
      </c>
      <c r="M19" s="1235">
        <v>0</v>
      </c>
      <c r="N19" s="1235">
        <v>0</v>
      </c>
      <c r="O19" s="1235">
        <v>0</v>
      </c>
      <c r="P19" s="1235">
        <v>0</v>
      </c>
      <c r="Q19" s="1236">
        <f t="shared" ref="Q19:Q22" si="2">SUM(C19:P19)</f>
        <v>0</v>
      </c>
      <c r="W19" s="1228"/>
    </row>
    <row r="20" spans="1:23" ht="15" customHeight="1">
      <c r="A20" s="1241"/>
      <c r="B20" s="1450" t="s">
        <v>416</v>
      </c>
      <c r="C20" s="1235">
        <v>0</v>
      </c>
      <c r="D20" s="1235">
        <v>0</v>
      </c>
      <c r="E20" s="1235">
        <v>0</v>
      </c>
      <c r="F20" s="1235">
        <v>0</v>
      </c>
      <c r="G20" s="1235">
        <v>0</v>
      </c>
      <c r="H20" s="1235">
        <v>0</v>
      </c>
      <c r="I20" s="1235">
        <v>0</v>
      </c>
      <c r="J20" s="1235">
        <v>0</v>
      </c>
      <c r="K20" s="1235">
        <v>0</v>
      </c>
      <c r="L20" s="1235">
        <v>0</v>
      </c>
      <c r="M20" s="1235">
        <v>0</v>
      </c>
      <c r="N20" s="1235">
        <v>0</v>
      </c>
      <c r="O20" s="1235">
        <v>0</v>
      </c>
      <c r="P20" s="1235">
        <v>0</v>
      </c>
      <c r="Q20" s="1236">
        <f t="shared" si="2"/>
        <v>0</v>
      </c>
      <c r="W20" s="1228"/>
    </row>
    <row r="21" spans="1:23" ht="15" customHeight="1">
      <c r="A21" s="1241"/>
      <c r="B21" s="1450" t="s">
        <v>417</v>
      </c>
      <c r="C21" s="1235">
        <v>0</v>
      </c>
      <c r="D21" s="1235">
        <v>0</v>
      </c>
      <c r="E21" s="1235">
        <v>0</v>
      </c>
      <c r="F21" s="1235">
        <v>0</v>
      </c>
      <c r="G21" s="1235">
        <v>0</v>
      </c>
      <c r="H21" s="1235">
        <v>0</v>
      </c>
      <c r="I21" s="1235">
        <v>0</v>
      </c>
      <c r="J21" s="1235">
        <v>177391</v>
      </c>
      <c r="K21" s="1235">
        <v>0</v>
      </c>
      <c r="L21" s="1235">
        <v>0</v>
      </c>
      <c r="M21" s="1235">
        <v>0</v>
      </c>
      <c r="N21" s="1235">
        <v>0</v>
      </c>
      <c r="O21" s="1235">
        <v>0</v>
      </c>
      <c r="P21" s="1235">
        <v>0</v>
      </c>
      <c r="Q21" s="1236">
        <f t="shared" si="2"/>
        <v>177391</v>
      </c>
      <c r="W21" s="1228"/>
    </row>
    <row r="22" spans="1:23" ht="15" customHeight="1">
      <c r="A22" s="1241"/>
      <c r="B22" s="1450" t="s">
        <v>418</v>
      </c>
      <c r="C22" s="1235">
        <v>251461</v>
      </c>
      <c r="D22" s="1235">
        <v>138432</v>
      </c>
      <c r="E22" s="1235">
        <v>0</v>
      </c>
      <c r="F22" s="1235">
        <v>0</v>
      </c>
      <c r="G22" s="1235">
        <v>0</v>
      </c>
      <c r="H22" s="1235">
        <v>45415</v>
      </c>
      <c r="I22" s="1235">
        <v>0</v>
      </c>
      <c r="J22" s="1235">
        <v>0</v>
      </c>
      <c r="K22" s="1235">
        <v>0</v>
      </c>
      <c r="L22" s="1235">
        <v>0</v>
      </c>
      <c r="M22" s="1235">
        <v>0</v>
      </c>
      <c r="N22" s="1235">
        <v>0</v>
      </c>
      <c r="O22" s="1235">
        <v>0</v>
      </c>
      <c r="P22" s="1235">
        <v>0</v>
      </c>
      <c r="Q22" s="1236">
        <f t="shared" si="2"/>
        <v>435308</v>
      </c>
      <c r="W22" s="1228"/>
    </row>
    <row r="23" spans="1:23" ht="15" customHeight="1">
      <c r="A23" s="1241"/>
      <c r="B23" s="1234" t="s">
        <v>419</v>
      </c>
      <c r="C23" s="1245">
        <f>SUM(C18:C22)</f>
        <v>251461</v>
      </c>
      <c r="D23" s="1245">
        <f t="shared" ref="D23:Q23" si="3">SUM(D18:D22)</f>
        <v>138432</v>
      </c>
      <c r="E23" s="1245">
        <f t="shared" si="3"/>
        <v>0</v>
      </c>
      <c r="F23" s="1245">
        <f t="shared" si="3"/>
        <v>0</v>
      </c>
      <c r="G23" s="1245">
        <f t="shared" si="3"/>
        <v>0</v>
      </c>
      <c r="H23" s="1245">
        <f t="shared" si="3"/>
        <v>45415</v>
      </c>
      <c r="I23" s="1245">
        <f t="shared" si="3"/>
        <v>0</v>
      </c>
      <c r="J23" s="1245">
        <f t="shared" si="3"/>
        <v>177391</v>
      </c>
      <c r="K23" s="1245">
        <f t="shared" si="3"/>
        <v>-20743</v>
      </c>
      <c r="L23" s="1245">
        <f t="shared" si="3"/>
        <v>0</v>
      </c>
      <c r="M23" s="1245">
        <f t="shared" si="3"/>
        <v>0</v>
      </c>
      <c r="N23" s="1245">
        <f t="shared" si="3"/>
        <v>0</v>
      </c>
      <c r="O23" s="1245">
        <f t="shared" si="3"/>
        <v>0</v>
      </c>
      <c r="P23" s="1245">
        <f t="shared" si="3"/>
        <v>0</v>
      </c>
      <c r="Q23" s="1245">
        <f t="shared" si="3"/>
        <v>591956</v>
      </c>
      <c r="W23" s="1228"/>
    </row>
    <row r="24" spans="1:23" ht="9" customHeight="1">
      <c r="A24" s="1240"/>
      <c r="B24" s="1241"/>
      <c r="C24" s="1242"/>
      <c r="D24" s="1242"/>
      <c r="E24" s="1242"/>
      <c r="F24" s="1243"/>
      <c r="W24" s="1228"/>
    </row>
    <row r="25" spans="1:23" ht="15" customHeight="1">
      <c r="A25" s="1240" t="s">
        <v>40</v>
      </c>
      <c r="B25" s="1241" t="s">
        <v>1326</v>
      </c>
      <c r="C25" s="1242"/>
      <c r="D25" s="1242"/>
      <c r="E25" s="1242"/>
      <c r="F25" s="1243"/>
      <c r="W25" s="1228"/>
    </row>
    <row r="26" spans="1:23" ht="15" customHeight="1">
      <c r="A26" s="1246"/>
      <c r="B26" s="1450" t="s">
        <v>420</v>
      </c>
      <c r="C26" s="1235">
        <v>0</v>
      </c>
      <c r="D26" s="1235">
        <v>0</v>
      </c>
      <c r="E26" s="1235">
        <v>0</v>
      </c>
      <c r="F26" s="1235">
        <v>0</v>
      </c>
      <c r="G26" s="1235">
        <v>0</v>
      </c>
      <c r="H26" s="1235">
        <v>0</v>
      </c>
      <c r="I26" s="1235">
        <v>0</v>
      </c>
      <c r="J26" s="1235">
        <v>0</v>
      </c>
      <c r="K26" s="1235">
        <v>-20743</v>
      </c>
      <c r="L26" s="1235">
        <v>0</v>
      </c>
      <c r="M26" s="1235">
        <v>0</v>
      </c>
      <c r="N26" s="1235">
        <v>0</v>
      </c>
      <c r="O26" s="1235">
        <v>0</v>
      </c>
      <c r="P26" s="1235">
        <v>0</v>
      </c>
      <c r="Q26" s="1236">
        <f t="shared" ref="Q26:Q29" si="4">SUM(C26:P26)</f>
        <v>-20743</v>
      </c>
      <c r="W26" s="1228"/>
    </row>
    <row r="27" spans="1:23" ht="15" customHeight="1">
      <c r="A27" s="1246"/>
      <c r="B27" s="1450" t="s">
        <v>421</v>
      </c>
      <c r="C27" s="1235">
        <v>0</v>
      </c>
      <c r="D27" s="1235">
        <v>0</v>
      </c>
      <c r="E27" s="1247"/>
      <c r="F27" s="1235">
        <v>0</v>
      </c>
      <c r="G27" s="1248"/>
      <c r="H27" s="1248"/>
      <c r="I27" s="1248"/>
      <c r="J27" s="1235">
        <v>0</v>
      </c>
      <c r="K27" s="1235">
        <v>0</v>
      </c>
      <c r="L27" s="1248"/>
      <c r="M27" s="1248"/>
      <c r="N27" s="1248"/>
      <c r="O27" s="1248"/>
      <c r="P27" s="1248"/>
      <c r="Q27" s="1236">
        <f t="shared" si="4"/>
        <v>0</v>
      </c>
      <c r="W27" s="1228"/>
    </row>
    <row r="28" spans="1:23" ht="15" customHeight="1">
      <c r="A28" s="1246"/>
      <c r="B28" s="1450" t="s">
        <v>1390</v>
      </c>
      <c r="C28" s="1235">
        <v>150000</v>
      </c>
      <c r="D28" s="1235">
        <v>50000</v>
      </c>
      <c r="E28" s="1235">
        <v>0</v>
      </c>
      <c r="F28" s="1235">
        <v>0</v>
      </c>
      <c r="G28" s="1235">
        <v>0</v>
      </c>
      <c r="H28" s="1235">
        <v>0</v>
      </c>
      <c r="I28" s="1235">
        <v>0</v>
      </c>
      <c r="J28" s="1235">
        <v>77391</v>
      </c>
      <c r="K28" s="1235">
        <v>0</v>
      </c>
      <c r="L28" s="1235">
        <v>0</v>
      </c>
      <c r="M28" s="1248"/>
      <c r="N28" s="1235">
        <v>0</v>
      </c>
      <c r="O28" s="1235">
        <v>0</v>
      </c>
      <c r="P28" s="1235">
        <v>0</v>
      </c>
      <c r="Q28" s="1236">
        <f t="shared" si="4"/>
        <v>277391</v>
      </c>
      <c r="W28" s="1228"/>
    </row>
    <row r="29" spans="1:23" ht="15" customHeight="1">
      <c r="A29" s="1246"/>
      <c r="B29" s="1450" t="s">
        <v>1391</v>
      </c>
      <c r="C29" s="1235">
        <v>101461</v>
      </c>
      <c r="D29" s="1235">
        <v>188432</v>
      </c>
      <c r="E29" s="1235">
        <v>0</v>
      </c>
      <c r="F29" s="1235">
        <v>0</v>
      </c>
      <c r="G29" s="1235">
        <v>0</v>
      </c>
      <c r="H29" s="1235">
        <v>45415</v>
      </c>
      <c r="I29" s="1235">
        <v>0</v>
      </c>
      <c r="J29" s="1235">
        <v>100000</v>
      </c>
      <c r="K29" s="1235">
        <v>0</v>
      </c>
      <c r="L29" s="1235">
        <v>0</v>
      </c>
      <c r="M29" s="1235">
        <v>0</v>
      </c>
      <c r="N29" s="1235">
        <v>0</v>
      </c>
      <c r="O29" s="1235">
        <v>0</v>
      </c>
      <c r="P29" s="1235">
        <v>0</v>
      </c>
      <c r="Q29" s="1236">
        <f t="shared" si="4"/>
        <v>435308</v>
      </c>
      <c r="W29" s="1228"/>
    </row>
    <row r="30" spans="1:23" ht="15" customHeight="1">
      <c r="A30" s="1246"/>
      <c r="B30" s="1234" t="s">
        <v>422</v>
      </c>
      <c r="C30" s="1245">
        <f t="shared" ref="C30:Q30" si="5">SUM(C26:C29)</f>
        <v>251461</v>
      </c>
      <c r="D30" s="1245">
        <f t="shared" si="5"/>
        <v>238432</v>
      </c>
      <c r="E30" s="1245">
        <f t="shared" si="5"/>
        <v>0</v>
      </c>
      <c r="F30" s="1245">
        <f t="shared" si="5"/>
        <v>0</v>
      </c>
      <c r="G30" s="1245">
        <f t="shared" si="5"/>
        <v>0</v>
      </c>
      <c r="H30" s="1245">
        <f t="shared" si="5"/>
        <v>45415</v>
      </c>
      <c r="I30" s="1245">
        <f t="shared" si="5"/>
        <v>0</v>
      </c>
      <c r="J30" s="1245">
        <f t="shared" si="5"/>
        <v>177391</v>
      </c>
      <c r="K30" s="1245">
        <f t="shared" si="5"/>
        <v>-20743</v>
      </c>
      <c r="L30" s="1245">
        <f t="shared" si="5"/>
        <v>0</v>
      </c>
      <c r="M30" s="1245">
        <f t="shared" si="5"/>
        <v>0</v>
      </c>
      <c r="N30" s="1245">
        <f t="shared" si="5"/>
        <v>0</v>
      </c>
      <c r="O30" s="1245">
        <f t="shared" si="5"/>
        <v>0</v>
      </c>
      <c r="P30" s="1245">
        <f t="shared" si="5"/>
        <v>0</v>
      </c>
      <c r="Q30" s="1245">
        <f t="shared" si="5"/>
        <v>691956</v>
      </c>
      <c r="W30" s="1228"/>
    </row>
    <row r="31" spans="1:23" ht="15" customHeight="1">
      <c r="A31" s="1246"/>
      <c r="B31" s="1234"/>
      <c r="C31" s="1242"/>
      <c r="D31" s="1242"/>
      <c r="E31" s="1242"/>
      <c r="F31" s="1242"/>
      <c r="W31" s="1228"/>
    </row>
    <row r="32" spans="1:23">
      <c r="A32" s="1249" t="s">
        <v>267</v>
      </c>
      <c r="B32" s="1450" t="s">
        <v>423</v>
      </c>
    </row>
    <row r="33" spans="1:5">
      <c r="A33" s="1796" t="s">
        <v>1406</v>
      </c>
      <c r="B33" s="1797"/>
      <c r="C33" s="1797"/>
      <c r="D33" s="1797"/>
      <c r="E33" s="1798"/>
    </row>
    <row r="34" spans="1:5">
      <c r="A34" s="1799"/>
      <c r="B34" s="1800"/>
      <c r="C34" s="1800"/>
      <c r="D34" s="1800"/>
      <c r="E34" s="1801"/>
    </row>
    <row r="35" spans="1:5">
      <c r="A35" s="1799"/>
      <c r="B35" s="1800"/>
      <c r="C35" s="1800"/>
      <c r="D35" s="1800"/>
      <c r="E35" s="1801"/>
    </row>
    <row r="36" spans="1:5">
      <c r="A36" s="1799"/>
      <c r="B36" s="1800"/>
      <c r="C36" s="1800"/>
      <c r="D36" s="1800"/>
      <c r="E36" s="1801"/>
    </row>
    <row r="37" spans="1:5">
      <c r="A37" s="1799"/>
      <c r="B37" s="1800"/>
      <c r="C37" s="1800"/>
      <c r="D37" s="1800"/>
      <c r="E37" s="1801"/>
    </row>
    <row r="38" spans="1:5">
      <c r="A38" s="1799"/>
      <c r="B38" s="1800"/>
      <c r="C38" s="1800"/>
      <c r="D38" s="1800"/>
      <c r="E38" s="1801"/>
    </row>
    <row r="39" spans="1:5">
      <c r="A39" s="1799"/>
      <c r="B39" s="1800"/>
      <c r="C39" s="1800"/>
      <c r="D39" s="1800"/>
      <c r="E39" s="1801"/>
    </row>
    <row r="40" spans="1:5">
      <c r="A40" s="1802"/>
      <c r="B40" s="1803"/>
      <c r="C40" s="1803"/>
      <c r="D40" s="1803"/>
      <c r="E40" s="1804"/>
    </row>
  </sheetData>
  <sheetProtection sheet="1" objects="1" scenarios="1"/>
  <mergeCells count="15">
    <mergeCell ref="C1:D1"/>
    <mergeCell ref="F1:G1"/>
    <mergeCell ref="A3:I5"/>
    <mergeCell ref="A6:B6"/>
    <mergeCell ref="C6:Q6"/>
    <mergeCell ref="Q7:Q8"/>
    <mergeCell ref="A8:B8"/>
    <mergeCell ref="A33:E40"/>
    <mergeCell ref="C7:E7"/>
    <mergeCell ref="F7:I7"/>
    <mergeCell ref="J7:L7"/>
    <mergeCell ref="M7:M8"/>
    <mergeCell ref="N7:N8"/>
    <mergeCell ref="O7:O8"/>
    <mergeCell ref="P7:P8"/>
  </mergeCells>
  <conditionalFormatting sqref="A33">
    <cfRule type="containsBlanks" dxfId="16" priority="5">
      <formula>LEN(TRIM(A33))=0</formula>
    </cfRule>
  </conditionalFormatting>
  <conditionalFormatting sqref="C26:D29">
    <cfRule type="containsBlanks" dxfId="15" priority="14">
      <formula>LEN(TRIM(C26))=0</formula>
    </cfRule>
  </conditionalFormatting>
  <conditionalFormatting sqref="C10:P10">
    <cfRule type="containsBlanks" dxfId="14" priority="16">
      <formula>LEN(TRIM(C10))=0</formula>
    </cfRule>
  </conditionalFormatting>
  <conditionalFormatting sqref="C14:P15">
    <cfRule type="containsBlanks" dxfId="13" priority="15">
      <formula>LEN(TRIM(C14))=0</formula>
    </cfRule>
  </conditionalFormatting>
  <conditionalFormatting sqref="C18:P22">
    <cfRule type="containsBlanks" dxfId="12" priority="4">
      <formula>LEN(TRIM(C18))=0</formula>
    </cfRule>
  </conditionalFormatting>
  <conditionalFormatting sqref="E28:E29">
    <cfRule type="containsBlanks" dxfId="11" priority="11">
      <formula>LEN(TRIM(E28))=0</formula>
    </cfRule>
  </conditionalFormatting>
  <conditionalFormatting sqref="E26:P26">
    <cfRule type="containsBlanks" dxfId="10" priority="13">
      <formula>LEN(TRIM(E26))=0</formula>
    </cfRule>
  </conditionalFormatting>
  <conditionalFormatting sqref="F27:F29">
    <cfRule type="containsBlanks" dxfId="9" priority="12">
      <formula>LEN(TRIM(F27))=0</formula>
    </cfRule>
  </conditionalFormatting>
  <conditionalFormatting sqref="G28:L29">
    <cfRule type="containsBlanks" dxfId="8" priority="10">
      <formula>LEN(TRIM(G28))=0</formula>
    </cfRule>
  </conditionalFormatting>
  <conditionalFormatting sqref="J27:K27">
    <cfRule type="containsBlanks" dxfId="7" priority="9">
      <formula>LEN(TRIM(J27))=0</formula>
    </cfRule>
  </conditionalFormatting>
  <conditionalFormatting sqref="M29:P29">
    <cfRule type="containsBlanks" dxfId="6" priority="8">
      <formula>LEN(TRIM(M29))=0</formula>
    </cfRule>
  </conditionalFormatting>
  <conditionalFormatting sqref="N28:P28">
    <cfRule type="containsBlanks" dxfId="5" priority="7">
      <formula>LEN(TRIM(N28))=0</formula>
    </cfRule>
  </conditionalFormatting>
  <hyperlinks>
    <hyperlink ref="B10" location="FundBalA1" display="FY 2023 final ending fund balance " xr:uid="{00000000-0004-0000-0E00-000000000000}"/>
    <hyperlink ref="B14" location="FundBalA2a" display="(a) FY 2024 revenues and other financing sources" xr:uid="{00000000-0004-0000-0E00-000001000000}"/>
    <hyperlink ref="B15" location="FundBalA2b" display="(b) FY 2024 expenditures and other financing uses" xr:uid="{00000000-0004-0000-0E00-000002000000}"/>
    <hyperlink ref="B18" location="FundBalA3a" display="(a) Nonspendable " xr:uid="{00000000-0004-0000-0E00-000003000000}"/>
    <hyperlink ref="B19" location="FundBalA3b" display="(b) Restricted" xr:uid="{00000000-0004-0000-0E00-000004000000}"/>
    <hyperlink ref="B20" location="FundBalA3c" display="(c) Committed" xr:uid="{00000000-0004-0000-0E00-000005000000}"/>
    <hyperlink ref="B21" location="FundBalA3d" display="(d) Assigned" xr:uid="{00000000-0004-0000-0E00-000006000000}"/>
    <hyperlink ref="B22" location="FundBalA3e" display="(e) Unassigned" xr:uid="{00000000-0004-0000-0E00-000007000000}"/>
    <hyperlink ref="B26" location="FundBalA4a" display="(a) Fund deficit" xr:uid="{00000000-0004-0000-0E00-000008000000}"/>
    <hyperlink ref="B27" location="FundBalA4b" display="(b) Fund balance exceeding budget capacity in budget controlled funds" xr:uid="{00000000-0004-0000-0E00-000009000000}"/>
    <hyperlink ref="B28" location="FundBalA4c" display="(c) Planned to be spent in FY 2025" xr:uid="{00000000-0004-0000-0E00-00000A000000}"/>
    <hyperlink ref="B29" location="FundBalA4d" display="(d) Maintained for spending after FY 2025" xr:uid="{00000000-0004-0000-0E00-00000B000000}"/>
    <hyperlink ref="B32" location="FundBalC" display="Comments (optional)" xr:uid="{00000000-0004-0000-0E00-00000C000000}"/>
    <hyperlink ref="A6:B6" location="FundBalGen" display="Instructions" xr:uid="{00000000-0004-0000-0E00-00000D000000}"/>
  </hyperlinks>
  <printOptions horizontalCentered="1"/>
  <pageMargins left="0.25" right="0.25" top="0.25" bottom="0.25" header="0" footer="0.15"/>
  <pageSetup paperSize="5" scale="50" orientation="landscape" r:id="rId1"/>
  <headerFooter alignWithMargins="0">
    <oddFooter>&amp;L&amp;"Times New Roman,Bold"&amp;9Rev. 5/26&amp;K000000 Arizona Department of Education and Auditor General&amp;C&amp;"Times New Roman,Regular"&amp;9&amp;D  &amp;T</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AA146"/>
  <sheetViews>
    <sheetView showGridLines="0" topLeftCell="A60" zoomScaleNormal="100" workbookViewId="0">
      <selection activeCell="J29" sqref="J29"/>
    </sheetView>
  </sheetViews>
  <sheetFormatPr defaultColWidth="9" defaultRowHeight="12"/>
  <cols>
    <col min="1" max="1" width="2.453125" style="96" customWidth="1"/>
    <col min="2" max="2" width="2" style="96" customWidth="1"/>
    <col min="3" max="3" width="2.54296875" style="96" customWidth="1"/>
    <col min="4" max="4" width="3" style="96" customWidth="1"/>
    <col min="5" max="5" width="15" style="96" customWidth="1"/>
    <col min="6" max="6" width="9" style="96" customWidth="1"/>
    <col min="7" max="7" width="9.453125" style="96" customWidth="1"/>
    <col min="8" max="9" width="9" style="96" customWidth="1"/>
    <col min="10" max="10" width="9.81640625" style="96" customWidth="1"/>
    <col min="11" max="11" width="13.1796875" style="96" customWidth="1"/>
    <col min="12" max="12" width="9.81640625" style="96" customWidth="1"/>
    <col min="13" max="14" width="9" style="96" customWidth="1"/>
    <col min="15" max="15" width="10" style="96" customWidth="1"/>
    <col min="16" max="16" width="3" style="96" customWidth="1"/>
    <col min="17" max="17" width="9.81640625" style="96" bestFit="1" customWidth="1"/>
    <col min="18" max="23" width="9" style="96" customWidth="1"/>
    <col min="24" max="16384" width="9" style="96"/>
  </cols>
  <sheetData>
    <row r="1" spans="1:15">
      <c r="A1" s="1852" t="s">
        <v>56</v>
      </c>
      <c r="B1" s="1852"/>
      <c r="C1" s="1852"/>
      <c r="D1" s="1852"/>
      <c r="E1" s="1842" t="str">
        <f>DistrictName</f>
        <v>Pomerene Elementary School District</v>
      </c>
      <c r="F1" s="1842"/>
      <c r="G1" s="1842"/>
      <c r="H1" s="1313" t="s">
        <v>1</v>
      </c>
      <c r="I1" s="1853" t="str">
        <f>Cover!H1</f>
        <v>Cochise</v>
      </c>
      <c r="J1" s="1842"/>
      <c r="K1" s="1313" t="s">
        <v>57</v>
      </c>
      <c r="L1" s="748" t="str">
        <f>CTD</f>
        <v>020364000</v>
      </c>
    </row>
    <row r="2" spans="1:15">
      <c r="K2" s="1313" t="s">
        <v>16</v>
      </c>
      <c r="L2" s="748" t="str">
        <f>Cover!C8</f>
        <v>Proposed</v>
      </c>
    </row>
    <row r="3" spans="1:15" ht="15" customHeight="1">
      <c r="C3" s="1591" t="s">
        <v>691</v>
      </c>
      <c r="D3" s="1591"/>
      <c r="E3" s="1591"/>
      <c r="F3" s="1539" t="s">
        <v>424</v>
      </c>
      <c r="G3" s="1539"/>
      <c r="H3" s="1539"/>
      <c r="I3" s="1539"/>
    </row>
    <row r="4" spans="1:15" ht="12.6" thickBot="1"/>
    <row r="5" spans="1:15" ht="16.5" customHeight="1" thickBot="1">
      <c r="B5" s="1197" t="s">
        <v>1377</v>
      </c>
      <c r="C5" s="749"/>
      <c r="D5" s="749"/>
      <c r="E5" s="749"/>
      <c r="F5" s="749"/>
      <c r="G5" s="749"/>
      <c r="H5" s="749"/>
      <c r="I5" s="749"/>
      <c r="J5" s="749"/>
      <c r="K5" s="749"/>
      <c r="L5" s="1846" t="str">
        <f>IF(OR(L1=0,L2=0),"ENTER CTD NUMBER AND VERSION ON COVER PAGE","")</f>
        <v/>
      </c>
      <c r="M5" s="1847"/>
    </row>
    <row r="6" spans="1:15" ht="24.75" customHeight="1" thickBot="1">
      <c r="B6" s="750"/>
      <c r="C6" s="1854" t="s">
        <v>1387</v>
      </c>
      <c r="D6" s="1854"/>
      <c r="E6" s="1854"/>
      <c r="F6" s="1854"/>
      <c r="G6" s="1854"/>
      <c r="H6" s="1854"/>
      <c r="I6" s="1523" t="s">
        <v>273</v>
      </c>
      <c r="J6" s="1524">
        <v>5215.53</v>
      </c>
      <c r="K6" s="1434"/>
      <c r="L6" s="1846"/>
      <c r="M6" s="1847"/>
    </row>
    <row r="7" spans="1:15" ht="24" customHeight="1" thickBot="1">
      <c r="B7" s="750"/>
      <c r="C7" s="1855" t="s">
        <v>1388</v>
      </c>
      <c r="D7" s="1855"/>
      <c r="E7" s="1855"/>
      <c r="F7" s="1855"/>
      <c r="G7" s="1855"/>
      <c r="H7" s="1855"/>
      <c r="I7" s="1523"/>
      <c r="J7" s="1434"/>
      <c r="K7" s="1434"/>
      <c r="L7" s="1846"/>
      <c r="M7" s="1847"/>
    </row>
    <row r="8" spans="1:15" ht="12.75" customHeight="1" thickBot="1">
      <c r="B8" s="750"/>
      <c r="C8" s="1434"/>
      <c r="D8" s="1434" t="s">
        <v>1378</v>
      </c>
      <c r="E8" s="1434"/>
      <c r="F8" s="1434"/>
      <c r="G8" s="1434"/>
      <c r="H8" s="1434"/>
      <c r="I8" s="1523" t="s">
        <v>273</v>
      </c>
      <c r="J8" s="1524">
        <v>3.07</v>
      </c>
      <c r="K8" s="1434"/>
      <c r="L8" s="1846"/>
      <c r="M8" s="1847"/>
    </row>
    <row r="9" spans="1:15" ht="12.75" customHeight="1" thickBot="1">
      <c r="B9" s="750"/>
      <c r="C9" s="1434"/>
      <c r="D9" s="1434" t="s">
        <v>425</v>
      </c>
      <c r="E9" s="1434"/>
      <c r="F9" s="1434"/>
      <c r="G9" s="1434"/>
      <c r="H9" s="1434"/>
      <c r="I9" s="1523" t="s">
        <v>273</v>
      </c>
      <c r="J9" s="1524">
        <v>2.52</v>
      </c>
      <c r="K9" s="1434"/>
      <c r="L9" s="1846"/>
      <c r="M9" s="1847"/>
    </row>
    <row r="10" spans="1:15" ht="22.5" customHeight="1" thickBot="1">
      <c r="B10" s="750"/>
      <c r="C10" s="1850" t="s">
        <v>1396</v>
      </c>
      <c r="D10" s="1850"/>
      <c r="E10" s="1850"/>
      <c r="F10" s="1850"/>
      <c r="G10" s="1850"/>
      <c r="H10" s="1850"/>
      <c r="I10" s="1851"/>
      <c r="J10" s="1526">
        <v>1.5127999999999999</v>
      </c>
      <c r="K10" s="1434"/>
      <c r="L10" s="1846"/>
      <c r="M10" s="1847"/>
    </row>
    <row r="11" spans="1:15" ht="12.6" thickBot="1">
      <c r="B11" s="750"/>
      <c r="C11" s="1527" t="s">
        <v>1379</v>
      </c>
      <c r="D11" s="1525"/>
      <c r="E11" s="1525"/>
      <c r="F11" s="1525"/>
      <c r="G11" s="1525"/>
      <c r="H11" s="1525"/>
      <c r="I11" s="1528" t="s">
        <v>273</v>
      </c>
      <c r="J11" s="1524">
        <v>883</v>
      </c>
      <c r="K11" s="1266"/>
      <c r="L11" s="1846"/>
      <c r="M11" s="1847"/>
    </row>
    <row r="12" spans="1:15" ht="9" customHeight="1" thickBot="1">
      <c r="B12" s="751"/>
      <c r="C12" s="752"/>
      <c r="D12" s="752"/>
      <c r="E12" s="752"/>
      <c r="F12" s="752"/>
      <c r="G12" s="752"/>
      <c r="H12" s="752"/>
      <c r="I12" s="752"/>
      <c r="J12" s="752"/>
      <c r="K12" s="753"/>
      <c r="L12" s="1846"/>
      <c r="M12" s="1847"/>
      <c r="N12" s="906" t="s">
        <v>58</v>
      </c>
      <c r="O12" s="1371" t="s">
        <v>59</v>
      </c>
    </row>
    <row r="13" spans="1:15" ht="13.8">
      <c r="N13" s="906" t="s">
        <v>60</v>
      </c>
      <c r="O13" s="1371" t="s">
        <v>61</v>
      </c>
    </row>
    <row r="14" spans="1:15" ht="15.6">
      <c r="A14" s="310" t="s">
        <v>1141</v>
      </c>
      <c r="N14" s="906" t="s">
        <v>62</v>
      </c>
      <c r="O14" s="1371" t="s">
        <v>63</v>
      </c>
    </row>
    <row r="15" spans="1:15" ht="13.8">
      <c r="B15" s="1355"/>
      <c r="C15" s="1356"/>
      <c r="D15" s="1357"/>
      <c r="G15" s="1860" t="s">
        <v>1142</v>
      </c>
      <c r="H15" s="1860"/>
      <c r="N15" s="906" t="s">
        <v>64</v>
      </c>
      <c r="O15" s="1371" t="s">
        <v>65</v>
      </c>
    </row>
    <row r="16" spans="1:15" ht="13.8">
      <c r="B16" s="96" t="s">
        <v>1143</v>
      </c>
      <c r="C16" s="150"/>
      <c r="D16" s="151"/>
      <c r="F16" s="204"/>
      <c r="G16" s="1861" t="s">
        <v>70</v>
      </c>
      <c r="H16" s="1861"/>
      <c r="J16" s="151"/>
      <c r="K16" s="150"/>
      <c r="N16" s="906" t="s">
        <v>66</v>
      </c>
      <c r="O16" s="906"/>
    </row>
    <row r="17" spans="1:26" ht="13.8">
      <c r="C17" s="150"/>
      <c r="D17" s="151"/>
      <c r="F17" s="204"/>
      <c r="H17" s="152"/>
      <c r="I17" s="152"/>
      <c r="J17" s="151"/>
      <c r="K17" s="150"/>
      <c r="N17" s="906" t="s">
        <v>67</v>
      </c>
      <c r="O17" s="906"/>
    </row>
    <row r="18" spans="1:26" ht="13.8">
      <c r="B18" s="96" t="s">
        <v>1144</v>
      </c>
      <c r="C18" s="150"/>
      <c r="D18" s="151"/>
      <c r="F18" s="204"/>
      <c r="G18" s="1862" t="s">
        <v>59</v>
      </c>
      <c r="H18" s="1863"/>
      <c r="J18" s="1377"/>
      <c r="N18" s="906" t="s">
        <v>68</v>
      </c>
      <c r="O18" s="906"/>
    </row>
    <row r="19" spans="1:26" ht="13.8">
      <c r="C19" s="150"/>
      <c r="D19" s="151"/>
      <c r="F19" s="204"/>
      <c r="H19" s="1516"/>
      <c r="I19" s="154"/>
      <c r="J19" s="151"/>
      <c r="K19" s="155"/>
      <c r="N19" s="906" t="s">
        <v>69</v>
      </c>
      <c r="O19" s="906"/>
    </row>
    <row r="20" spans="1:26" ht="13.8">
      <c r="B20" s="96" t="s">
        <v>1145</v>
      </c>
      <c r="C20" s="150"/>
      <c r="D20" s="151"/>
      <c r="F20" s="204"/>
      <c r="G20" s="1862" t="s">
        <v>1403</v>
      </c>
      <c r="H20" s="1863"/>
      <c r="J20" s="151"/>
      <c r="K20" s="155"/>
      <c r="N20" s="906" t="s">
        <v>930</v>
      </c>
      <c r="O20" s="906"/>
    </row>
    <row r="21" spans="1:26" ht="15.6">
      <c r="B21" s="1517"/>
      <c r="C21" s="1356"/>
      <c r="D21" s="153"/>
      <c r="E21" s="204"/>
      <c r="F21" s="204"/>
      <c r="H21" s="1518"/>
      <c r="I21" s="1447"/>
      <c r="J21"/>
      <c r="K21"/>
      <c r="N21" s="906" t="s">
        <v>931</v>
      </c>
      <c r="O21" s="906"/>
    </row>
    <row r="22" spans="1:26" ht="15">
      <c r="A22"/>
      <c r="B22" s="1519" t="s">
        <v>1146</v>
      </c>
      <c r="C22" s="1519"/>
      <c r="D22" s="1519"/>
      <c r="E22" s="1519"/>
      <c r="G22" s="1859"/>
      <c r="H22" s="1859"/>
      <c r="I22" s="1447"/>
      <c r="J22"/>
      <c r="K22"/>
      <c r="N22" s="906" t="s">
        <v>70</v>
      </c>
      <c r="O22" s="906"/>
    </row>
    <row r="23" spans="1:26" ht="15">
      <c r="C23" s="1356"/>
      <c r="D23" s="153"/>
      <c r="E23" s="204"/>
      <c r="F23" s="204"/>
      <c r="I23" s="1447"/>
      <c r="J23"/>
      <c r="K23"/>
      <c r="N23" s="906" t="s">
        <v>71</v>
      </c>
      <c r="O23" s="906"/>
    </row>
    <row r="24" spans="1:26">
      <c r="B24" s="4"/>
      <c r="N24" s="906" t="s">
        <v>72</v>
      </c>
      <c r="O24" s="906"/>
    </row>
    <row r="25" spans="1:26" ht="15.6">
      <c r="A25" s="310" t="s">
        <v>426</v>
      </c>
      <c r="C25" s="310"/>
      <c r="D25" s="310"/>
      <c r="E25" s="310"/>
      <c r="N25" s="906" t="s">
        <v>73</v>
      </c>
      <c r="O25" s="906"/>
    </row>
    <row r="26" spans="1:26" ht="49.5" customHeight="1">
      <c r="B26" s="1627" t="s">
        <v>427</v>
      </c>
      <c r="C26" s="1792"/>
      <c r="D26" s="1792"/>
      <c r="E26" s="1792"/>
      <c r="F26" s="1792"/>
      <c r="G26" s="1792"/>
      <c r="H26" s="1792"/>
      <c r="I26" s="1792"/>
      <c r="J26" s="1792"/>
      <c r="K26" s="1792"/>
      <c r="N26" s="906" t="s">
        <v>74</v>
      </c>
      <c r="O26" s="906"/>
    </row>
    <row r="27" spans="1:26" ht="17.25" customHeight="1">
      <c r="C27" s="116" t="s">
        <v>1148</v>
      </c>
      <c r="G27" s="754" t="s">
        <v>428</v>
      </c>
      <c r="H27" s="754" t="s">
        <v>429</v>
      </c>
      <c r="I27" s="755" t="s">
        <v>430</v>
      </c>
      <c r="J27" s="756" t="s">
        <v>359</v>
      </c>
      <c r="K27" s="757"/>
      <c r="L27" s="1848" t="s">
        <v>1147</v>
      </c>
      <c r="M27" s="1848"/>
      <c r="N27" s="1848"/>
      <c r="O27" s="1849"/>
      <c r="P27" s="72"/>
    </row>
    <row r="28" spans="1:26" ht="11.25" customHeight="1">
      <c r="B28" s="758" t="s">
        <v>6</v>
      </c>
      <c r="C28" s="1583" t="s">
        <v>1294</v>
      </c>
      <c r="D28" s="1583"/>
      <c r="E28" s="1583"/>
      <c r="G28" s="759"/>
      <c r="H28" s="759"/>
      <c r="I28" s="760"/>
      <c r="J28" s="79">
        <v>99.386200000000002</v>
      </c>
      <c r="K28" s="1844" t="str">
        <f>IF(AND(J34&gt;0,PY100DayADM=""),_xlfn.CONCAT("ENTER ",C28),"")</f>
        <v/>
      </c>
      <c r="L28" s="1845"/>
      <c r="M28" s="1845"/>
      <c r="N28" s="1845"/>
    </row>
    <row r="29" spans="1:26" ht="11.25" customHeight="1">
      <c r="B29" s="758" t="s">
        <v>431</v>
      </c>
      <c r="C29" s="1583" t="s">
        <v>1295</v>
      </c>
      <c r="D29" s="1583"/>
      <c r="E29" s="1583"/>
      <c r="G29" s="80">
        <v>1</v>
      </c>
      <c r="H29" s="80">
        <v>108.91030000000001</v>
      </c>
      <c r="I29" s="81">
        <v>0</v>
      </c>
      <c r="J29" s="762">
        <f>UnweightedStudCntPSDPY+UnweightedStudCntK8PY+UnweightedStudCnt912PY</f>
        <v>109.91030000000001</v>
      </c>
      <c r="K29" s="1844"/>
      <c r="L29" s="1845"/>
      <c r="M29" s="1845"/>
      <c r="N29" s="1845"/>
      <c r="Y29" s="764">
        <f>IF(AND(UnweightedStudCntK8PY&gt;125,UnweightedStudCntK8PY&lt;154),1,0)</f>
        <v>0</v>
      </c>
      <c r="Z29" s="765">
        <f>IF(AND(UnweightedStudCnt912PY&gt;100,UnweightedStudCnt912PY&lt;176),1,0)</f>
        <v>0</v>
      </c>
    </row>
    <row r="30" spans="1:26">
      <c r="B30" s="766"/>
      <c r="C30" s="116" t="s">
        <v>1149</v>
      </c>
      <c r="G30" s="746"/>
      <c r="H30" s="746"/>
      <c r="I30" s="746"/>
      <c r="J30" s="746"/>
    </row>
    <row r="31" spans="1:26" ht="11.25" customHeight="1">
      <c r="B31" s="758" t="s">
        <v>22</v>
      </c>
      <c r="C31" s="96" t="s">
        <v>1296</v>
      </c>
      <c r="G31" s="80">
        <v>0</v>
      </c>
      <c r="H31" s="80">
        <v>105</v>
      </c>
      <c r="I31" s="81"/>
      <c r="J31" s="762">
        <f>NonAOIStudCntPSDCY+NonAOIStudCntK8CY+NonAOIStudCnt912CY</f>
        <v>105</v>
      </c>
      <c r="K31" s="1822" t="str">
        <f>IF(AND(VALUE(LEFT(RIGHT(L1,7),2))=3,P27&lt;&gt;"X",OR(NonAOIStudCnt912CY&lt;&gt;"",AOIFTStudCnt912CY&lt;&gt;"",AOIPTStudCnt912CY&lt;&gt;"")),"ERROR: Type 03 districts should only enter amounts on lines 3 through 5 for those high school students that it educates. Type 03 districts that educate their high school students should use the checkbox in cell P15.","")</f>
        <v/>
      </c>
      <c r="L31" s="1823"/>
      <c r="M31" s="1823"/>
    </row>
    <row r="32" spans="1:26">
      <c r="B32" s="758" t="s">
        <v>40</v>
      </c>
      <c r="C32" s="96" t="s">
        <v>1297</v>
      </c>
      <c r="G32" s="767"/>
      <c r="H32" s="80">
        <v>0</v>
      </c>
      <c r="I32" s="81"/>
      <c r="J32" s="762">
        <f>AOIFTStudCntK8CY+AOIFTStudCnt912CY</f>
        <v>0</v>
      </c>
      <c r="K32" s="1822"/>
      <c r="L32" s="1823"/>
      <c r="M32" s="1823"/>
    </row>
    <row r="33" spans="2:17">
      <c r="B33" s="758" t="s">
        <v>98</v>
      </c>
      <c r="C33" s="96" t="s">
        <v>1298</v>
      </c>
      <c r="G33" s="767"/>
      <c r="H33" s="80">
        <v>0</v>
      </c>
      <c r="I33" s="81"/>
      <c r="J33" s="762">
        <f>AOIPTStudCntK8CY+AOIPTStudCnt912CY</f>
        <v>0</v>
      </c>
      <c r="K33" s="1822"/>
      <c r="L33" s="1823"/>
      <c r="M33" s="1823"/>
    </row>
    <row r="34" spans="2:17">
      <c r="B34" s="207" t="s">
        <v>99</v>
      </c>
      <c r="C34" s="96" t="s">
        <v>1299</v>
      </c>
      <c r="G34" s="762">
        <f>NonAOIStudCntPSDCY</f>
        <v>0</v>
      </c>
      <c r="H34" s="762">
        <f>NonAOIStudCntK8CY+AOIFTStudCntK8CY+AOIPTStudCntK8CY</f>
        <v>105</v>
      </c>
      <c r="I34" s="763">
        <f>NonAOIStudCnt912CY+AOIFTStudCnt912CY+AOIPTStudCnt912CY</f>
        <v>0</v>
      </c>
      <c r="J34" s="762">
        <f>G34+H34+I34</f>
        <v>105</v>
      </c>
      <c r="K34" s="1823"/>
      <c r="L34" s="1823"/>
      <c r="M34" s="1823"/>
    </row>
    <row r="35" spans="2:17" ht="12.75" customHeight="1">
      <c r="J35" s="591"/>
      <c r="K35" s="1823"/>
      <c r="L35" s="1823"/>
      <c r="M35" s="1823"/>
    </row>
    <row r="36" spans="2:17" ht="11.25" customHeight="1"/>
    <row r="37" spans="2:17" ht="12.75" customHeight="1">
      <c r="B37" s="1824" t="s">
        <v>432</v>
      </c>
      <c r="C37" s="1824"/>
      <c r="D37" s="1824"/>
      <c r="E37" s="1824"/>
    </row>
    <row r="38" spans="2:17" ht="15" customHeight="1">
      <c r="B38" s="741"/>
      <c r="C38" s="119" t="s">
        <v>433</v>
      </c>
    </row>
    <row r="39" spans="2:17" ht="35.25" customHeight="1">
      <c r="B39" s="1308"/>
      <c r="C39" s="334"/>
      <c r="D39" s="768"/>
      <c r="E39" s="768"/>
      <c r="F39" s="769"/>
      <c r="G39" s="770" t="s">
        <v>1152</v>
      </c>
      <c r="H39" s="770" t="s">
        <v>1151</v>
      </c>
      <c r="I39" s="770" t="s">
        <v>1150</v>
      </c>
      <c r="M39" s="1277"/>
      <c r="N39" s="1277"/>
      <c r="P39" s="1277"/>
      <c r="Q39" s="1277"/>
    </row>
    <row r="40" spans="2:17">
      <c r="B40" s="758" t="s">
        <v>100</v>
      </c>
      <c r="C40" s="771" t="s">
        <v>436</v>
      </c>
      <c r="D40" s="772"/>
      <c r="E40" s="772"/>
      <c r="F40" s="772"/>
      <c r="G40" s="80">
        <v>0</v>
      </c>
      <c r="H40" s="80"/>
      <c r="I40" s="80"/>
      <c r="M40" s="777"/>
      <c r="N40" s="778"/>
      <c r="O40" s="778"/>
      <c r="P40" s="777"/>
      <c r="Q40" s="778"/>
    </row>
    <row r="41" spans="2:17">
      <c r="B41" s="774" t="s">
        <v>102</v>
      </c>
      <c r="C41" s="775" t="s">
        <v>435</v>
      </c>
      <c r="D41" s="776"/>
      <c r="E41" s="776"/>
      <c r="F41" s="776"/>
      <c r="G41" s="63">
        <v>50</v>
      </c>
      <c r="H41" s="63"/>
      <c r="I41" s="63"/>
      <c r="M41" s="777"/>
      <c r="N41" s="778"/>
      <c r="O41" s="778"/>
      <c r="P41" s="777"/>
      <c r="Q41" s="778"/>
    </row>
    <row r="42" spans="2:17" ht="11.25" customHeight="1">
      <c r="B42" s="758" t="s">
        <v>103</v>
      </c>
      <c r="C42" s="771" t="s">
        <v>613</v>
      </c>
      <c r="D42" s="772"/>
      <c r="E42" s="772"/>
      <c r="F42" s="772"/>
      <c r="G42" s="83">
        <v>50</v>
      </c>
      <c r="H42" s="83"/>
      <c r="I42" s="82"/>
      <c r="M42" s="773"/>
      <c r="N42" s="773"/>
      <c r="P42" s="773"/>
      <c r="Q42" s="773"/>
    </row>
    <row r="43" spans="2:17">
      <c r="B43" s="758" t="s">
        <v>104</v>
      </c>
      <c r="C43" s="775" t="s">
        <v>437</v>
      </c>
      <c r="D43" s="776"/>
      <c r="E43" s="776"/>
      <c r="F43" s="776"/>
      <c r="G43" s="63">
        <v>0</v>
      </c>
      <c r="H43" s="63"/>
      <c r="I43" s="63"/>
      <c r="M43" s="777"/>
      <c r="N43" s="778"/>
      <c r="O43" s="778"/>
      <c r="P43" s="777"/>
      <c r="Q43" s="778"/>
    </row>
    <row r="44" spans="2:17">
      <c r="B44" s="758" t="s">
        <v>105</v>
      </c>
      <c r="C44" s="771" t="s">
        <v>438</v>
      </c>
      <c r="D44" s="772"/>
      <c r="E44" s="772"/>
      <c r="F44" s="772"/>
      <c r="G44" s="80">
        <v>0</v>
      </c>
      <c r="H44" s="80"/>
      <c r="I44" s="80"/>
      <c r="M44" s="777"/>
      <c r="N44" s="778"/>
      <c r="O44" s="778"/>
      <c r="P44" s="777"/>
      <c r="Q44" s="778"/>
    </row>
    <row r="45" spans="2:17">
      <c r="B45" s="758" t="s">
        <v>106</v>
      </c>
      <c r="C45" s="775" t="s">
        <v>439</v>
      </c>
      <c r="D45" s="776"/>
      <c r="E45" s="776"/>
      <c r="F45" s="776"/>
      <c r="G45" s="63">
        <v>0</v>
      </c>
      <c r="H45" s="63"/>
      <c r="I45" s="63"/>
      <c r="M45" s="777"/>
      <c r="N45" s="778"/>
      <c r="O45" s="778"/>
      <c r="P45" s="777"/>
      <c r="Q45" s="778"/>
    </row>
    <row r="46" spans="2:17">
      <c r="B46" s="758" t="s">
        <v>107</v>
      </c>
      <c r="C46" s="771" t="s">
        <v>440</v>
      </c>
      <c r="D46" s="772"/>
      <c r="E46" s="772"/>
      <c r="F46" s="772"/>
      <c r="G46" s="80">
        <v>0</v>
      </c>
      <c r="H46" s="80"/>
      <c r="I46" s="80"/>
      <c r="M46" s="777"/>
      <c r="N46" s="778"/>
      <c r="O46" s="778"/>
      <c r="P46" s="777"/>
      <c r="Q46" s="778"/>
    </row>
    <row r="47" spans="2:17">
      <c r="B47" s="758" t="s">
        <v>108</v>
      </c>
      <c r="C47" s="775" t="s">
        <v>441</v>
      </c>
      <c r="D47" s="776"/>
      <c r="E47" s="776"/>
      <c r="F47" s="776"/>
      <c r="G47" s="63">
        <v>0</v>
      </c>
      <c r="H47" s="63"/>
      <c r="I47" s="63"/>
      <c r="M47" s="777"/>
      <c r="N47" s="778"/>
      <c r="O47" s="778"/>
      <c r="P47" s="777"/>
      <c r="Q47" s="778"/>
    </row>
    <row r="48" spans="2:17">
      <c r="B48" s="758" t="s">
        <v>109</v>
      </c>
      <c r="C48" s="771" t="s">
        <v>442</v>
      </c>
      <c r="D48" s="772"/>
      <c r="E48" s="772"/>
      <c r="F48" s="772"/>
      <c r="G48" s="80">
        <v>0</v>
      </c>
      <c r="H48" s="80"/>
      <c r="I48" s="80"/>
      <c r="M48" s="777"/>
      <c r="N48" s="778"/>
      <c r="O48" s="778"/>
      <c r="P48" s="777"/>
      <c r="Q48" s="778"/>
    </row>
    <row r="49" spans="1:18">
      <c r="B49" s="758" t="s">
        <v>110</v>
      </c>
      <c r="C49" s="775" t="s">
        <v>443</v>
      </c>
      <c r="D49" s="776"/>
      <c r="E49" s="776"/>
      <c r="F49" s="776"/>
      <c r="G49" s="63">
        <v>0</v>
      </c>
      <c r="H49" s="63"/>
      <c r="I49" s="63"/>
      <c r="M49" s="777"/>
      <c r="N49" s="778"/>
      <c r="O49" s="778"/>
      <c r="P49" s="777"/>
      <c r="Q49" s="778"/>
    </row>
    <row r="50" spans="1:18">
      <c r="B50" s="758" t="s">
        <v>111</v>
      </c>
      <c r="C50" s="771" t="s">
        <v>444</v>
      </c>
      <c r="D50" s="772"/>
      <c r="E50" s="772"/>
      <c r="F50" s="772"/>
      <c r="G50" s="80">
        <v>15</v>
      </c>
      <c r="H50" s="80"/>
      <c r="I50" s="80"/>
      <c r="J50" s="779" t="s">
        <v>445</v>
      </c>
      <c r="M50" s="777"/>
      <c r="N50" s="778"/>
      <c r="O50" s="778"/>
      <c r="P50" s="777"/>
      <c r="Q50" s="778"/>
    </row>
    <row r="51" spans="1:18">
      <c r="B51" s="758" t="s">
        <v>112</v>
      </c>
      <c r="C51" s="775" t="s">
        <v>446</v>
      </c>
      <c r="D51" s="776"/>
      <c r="E51" s="776"/>
      <c r="F51" s="776"/>
      <c r="G51" s="63">
        <v>0</v>
      </c>
      <c r="H51" s="63"/>
      <c r="I51" s="63"/>
      <c r="M51" s="777"/>
      <c r="N51" s="778"/>
      <c r="O51" s="778"/>
      <c r="P51" s="777"/>
      <c r="Q51" s="778"/>
    </row>
    <row r="52" spans="1:18">
      <c r="B52" s="758" t="s">
        <v>113</v>
      </c>
      <c r="C52" s="771" t="s">
        <v>447</v>
      </c>
      <c r="D52" s="772"/>
      <c r="E52" s="772"/>
      <c r="F52" s="772"/>
      <c r="G52" s="80">
        <v>0</v>
      </c>
      <c r="H52" s="80"/>
      <c r="I52" s="80"/>
      <c r="M52" s="777"/>
      <c r="N52" s="778"/>
      <c r="O52" s="778"/>
      <c r="P52" s="777"/>
      <c r="Q52" s="778"/>
    </row>
    <row r="53" spans="1:18">
      <c r="B53" s="758" t="s">
        <v>114</v>
      </c>
      <c r="C53" s="775" t="s">
        <v>448</v>
      </c>
      <c r="D53" s="780"/>
      <c r="E53" s="780"/>
      <c r="F53" s="776"/>
      <c r="G53" s="84">
        <v>0</v>
      </c>
      <c r="H53" s="84"/>
      <c r="I53" s="84"/>
    </row>
    <row r="54" spans="1:18">
      <c r="B54" s="758" t="s">
        <v>115</v>
      </c>
      <c r="C54" s="771" t="s">
        <v>450</v>
      </c>
      <c r="D54" s="772"/>
      <c r="E54" s="772"/>
      <c r="F54" s="772"/>
      <c r="G54" s="80">
        <v>55</v>
      </c>
      <c r="H54" s="80"/>
      <c r="I54" s="80"/>
      <c r="J54" s="784"/>
      <c r="M54" s="777"/>
      <c r="N54" s="778"/>
      <c r="O54" s="778"/>
      <c r="P54" s="777"/>
      <c r="Q54" s="778"/>
    </row>
    <row r="55" spans="1:18">
      <c r="B55" s="758" t="s">
        <v>116</v>
      </c>
      <c r="C55" s="782" t="s">
        <v>449</v>
      </c>
      <c r="D55" s="783"/>
      <c r="E55" s="783"/>
      <c r="F55" s="783"/>
      <c r="G55" s="95">
        <v>0</v>
      </c>
      <c r="H55" s="95"/>
      <c r="I55" s="95"/>
      <c r="M55" s="777"/>
      <c r="N55" s="778"/>
      <c r="O55" s="778"/>
      <c r="P55" s="777"/>
      <c r="Q55" s="778"/>
    </row>
    <row r="56" spans="1:18" ht="11.25" customHeight="1">
      <c r="B56" s="785" t="s">
        <v>117</v>
      </c>
      <c r="C56" s="786" t="s">
        <v>1153</v>
      </c>
      <c r="D56" s="781"/>
      <c r="E56" s="781"/>
      <c r="F56" s="781"/>
      <c r="G56" s="787">
        <f>SUM(G40:G55)</f>
        <v>170</v>
      </c>
      <c r="H56" s="787">
        <f>SUM(H40:H55)</f>
        <v>0</v>
      </c>
      <c r="I56" s="787">
        <f>SUM(I40:I55)</f>
        <v>0</v>
      </c>
      <c r="J56" s="788"/>
      <c r="K56" s="789"/>
      <c r="L56" s="789"/>
      <c r="M56" s="778"/>
      <c r="N56" s="778"/>
      <c r="O56" s="778"/>
      <c r="P56" s="778"/>
      <c r="Q56" s="778"/>
      <c r="R56" s="778"/>
    </row>
    <row r="57" spans="1:18" ht="32.25" customHeight="1">
      <c r="A57" s="310" t="s">
        <v>451</v>
      </c>
    </row>
    <row r="58" spans="1:18" ht="15.75" customHeight="1" thickBot="1">
      <c r="C58" s="96" t="s">
        <v>429</v>
      </c>
      <c r="D58" s="790" t="s">
        <v>430</v>
      </c>
    </row>
    <row r="59" spans="1:18" ht="12.75" customHeight="1" thickBot="1">
      <c r="A59" s="310"/>
      <c r="B59" s="758" t="s">
        <v>6</v>
      </c>
      <c r="C59" s="58"/>
      <c r="D59" s="58"/>
      <c r="E59" s="1843" t="s">
        <v>452</v>
      </c>
      <c r="F59" s="1583"/>
      <c r="G59" s="1583"/>
      <c r="H59" s="1583"/>
      <c r="I59" s="1583"/>
      <c r="J59" s="1583"/>
      <c r="K59" s="1583"/>
    </row>
    <row r="60" spans="1:18" ht="12" customHeight="1" thickBot="1">
      <c r="A60" s="310"/>
    </row>
    <row r="61" spans="1:18" hidden="1"/>
    <row r="62" spans="1:18" ht="12.6" hidden="1" thickBot="1"/>
    <row r="63" spans="1:18" ht="12.6" thickBot="1">
      <c r="B63" s="758" t="s">
        <v>8</v>
      </c>
      <c r="C63" s="58"/>
      <c r="E63" s="96" t="s">
        <v>453</v>
      </c>
    </row>
    <row r="65" spans="1:16">
      <c r="B65" s="758" t="s">
        <v>22</v>
      </c>
      <c r="C65" s="96" t="s">
        <v>1300</v>
      </c>
      <c r="K65" s="1271"/>
      <c r="L65" s="791">
        <f>BSA55BLA</f>
        <v>5215.53</v>
      </c>
      <c r="P65" s="789"/>
    </row>
    <row r="66" spans="1:16" ht="22.5" customHeight="1">
      <c r="B66" s="758" t="s">
        <v>40</v>
      </c>
      <c r="C66" s="1856" t="s">
        <v>1301</v>
      </c>
      <c r="D66" s="1857"/>
      <c r="E66" s="1857"/>
      <c r="F66" s="1857"/>
      <c r="G66" s="1857"/>
      <c r="H66" s="1857"/>
      <c r="I66" s="1857"/>
      <c r="J66" s="1857"/>
      <c r="K66" s="1858"/>
      <c r="L66" s="63">
        <v>1.0548</v>
      </c>
    </row>
    <row r="67" spans="1:16">
      <c r="B67" s="758" t="s">
        <v>98</v>
      </c>
      <c r="C67" s="794" t="s">
        <v>1302</v>
      </c>
      <c r="D67" s="772"/>
      <c r="E67" s="772"/>
      <c r="F67" s="772"/>
      <c r="G67" s="772"/>
      <c r="H67" s="772"/>
      <c r="I67" s="772"/>
      <c r="J67" s="772"/>
      <c r="K67" s="795"/>
      <c r="L67" s="65">
        <v>11500</v>
      </c>
    </row>
    <row r="68" spans="1:16">
      <c r="B68" s="758" t="s">
        <v>99</v>
      </c>
      <c r="C68" s="1198" t="s">
        <v>1303</v>
      </c>
      <c r="D68" s="1199"/>
      <c r="E68" s="1199"/>
      <c r="F68" s="776"/>
      <c r="G68" s="776"/>
      <c r="H68" s="776"/>
      <c r="I68" s="776"/>
      <c r="J68" s="776"/>
      <c r="K68" s="793"/>
      <c r="L68" s="64">
        <v>0</v>
      </c>
    </row>
    <row r="69" spans="1:16">
      <c r="B69" s="797" t="s">
        <v>100</v>
      </c>
      <c r="C69" s="794" t="s">
        <v>1304</v>
      </c>
      <c r="D69" s="772"/>
      <c r="E69" s="772"/>
      <c r="F69" s="772"/>
      <c r="G69" s="772"/>
      <c r="H69" s="772"/>
      <c r="I69" s="772"/>
      <c r="J69" s="772"/>
      <c r="K69" s="798"/>
      <c r="L69" s="796">
        <f>L67+L68</f>
        <v>11500</v>
      </c>
    </row>
    <row r="71" spans="1:16" ht="21" customHeight="1">
      <c r="A71" s="1143" t="s">
        <v>454</v>
      </c>
      <c r="C71" s="309"/>
      <c r="M71"/>
      <c r="N71"/>
      <c r="O71"/>
      <c r="P71"/>
    </row>
    <row r="72" spans="1:16" ht="12" customHeight="1">
      <c r="B72" s="758" t="s">
        <v>6</v>
      </c>
      <c r="C72" s="771" t="s">
        <v>1305</v>
      </c>
      <c r="D72" s="799"/>
      <c r="E72" s="799"/>
      <c r="F72" s="799"/>
      <c r="G72" s="772"/>
      <c r="H72" s="772"/>
      <c r="I72" s="772"/>
      <c r="J72" s="772"/>
      <c r="K72" s="795"/>
      <c r="L72" s="60">
        <v>83</v>
      </c>
      <c r="M72"/>
      <c r="N72"/>
      <c r="O72"/>
      <c r="P72"/>
    </row>
    <row r="73" spans="1:16" ht="12" customHeight="1">
      <c r="B73" s="758" t="s">
        <v>8</v>
      </c>
      <c r="C73" s="1200" t="s">
        <v>1306</v>
      </c>
      <c r="D73" s="1150"/>
      <c r="E73" s="1150"/>
      <c r="F73" s="1150"/>
      <c r="G73" s="776"/>
      <c r="H73" s="776"/>
      <c r="I73" s="776"/>
      <c r="J73" s="776"/>
      <c r="K73" s="793"/>
      <c r="L73" s="62">
        <v>45.38</v>
      </c>
      <c r="M73"/>
      <c r="N73"/>
      <c r="O73"/>
      <c r="P73"/>
    </row>
    <row r="74" spans="1:16" ht="12" customHeight="1">
      <c r="B74" s="758" t="s">
        <v>22</v>
      </c>
      <c r="C74" s="1840" t="s">
        <v>1307</v>
      </c>
      <c r="D74" s="1841"/>
      <c r="E74" s="1841"/>
      <c r="F74" s="1841"/>
      <c r="G74" s="772"/>
      <c r="H74" s="772"/>
      <c r="I74" s="772"/>
      <c r="J74" s="772"/>
      <c r="K74" s="795"/>
      <c r="L74" s="65">
        <v>0</v>
      </c>
      <c r="M74"/>
      <c r="N74"/>
      <c r="O74"/>
      <c r="P74"/>
    </row>
    <row r="75" spans="1:16" ht="12" customHeight="1">
      <c r="B75" s="758" t="s">
        <v>40</v>
      </c>
      <c r="C75" s="1200" t="s">
        <v>1308</v>
      </c>
      <c r="D75" s="1150"/>
      <c r="E75" s="1150"/>
      <c r="F75" s="1150"/>
      <c r="G75" s="776"/>
      <c r="H75" s="776"/>
      <c r="I75" s="776"/>
      <c r="J75" s="776"/>
      <c r="K75" s="793"/>
      <c r="L75" s="64">
        <v>0</v>
      </c>
      <c r="M75"/>
      <c r="N75"/>
      <c r="O75"/>
      <c r="P75"/>
    </row>
    <row r="76" spans="1:16" ht="12" customHeight="1">
      <c r="B76" s="758" t="s">
        <v>98</v>
      </c>
      <c r="C76" s="771" t="s">
        <v>1309</v>
      </c>
      <c r="D76" s="799"/>
      <c r="E76" s="799"/>
      <c r="F76" s="799"/>
      <c r="G76" s="799"/>
      <c r="H76" s="799"/>
      <c r="I76" s="799"/>
      <c r="J76" s="799"/>
      <c r="K76" s="795"/>
      <c r="L76" s="60">
        <v>0</v>
      </c>
      <c r="M76"/>
      <c r="N76"/>
      <c r="O76"/>
      <c r="P76"/>
    </row>
    <row r="77" spans="1:16" ht="12" customHeight="1">
      <c r="B77" s="207" t="s">
        <v>99</v>
      </c>
      <c r="C77" s="1200" t="s">
        <v>1310</v>
      </c>
      <c r="D77" s="1150"/>
      <c r="E77" s="1150"/>
      <c r="F77" s="1150"/>
      <c r="G77" s="776"/>
      <c r="H77" s="776"/>
      <c r="I77" s="776"/>
      <c r="J77" s="776"/>
      <c r="K77" s="793"/>
      <c r="L77" s="62">
        <v>0</v>
      </c>
      <c r="M77"/>
      <c r="N77"/>
      <c r="O77"/>
      <c r="P77"/>
    </row>
    <row r="78" spans="1:16" ht="14.25" customHeight="1">
      <c r="B78" s="207"/>
      <c r="K78" s="1271"/>
      <c r="L78" s="778"/>
      <c r="M78"/>
      <c r="N78"/>
      <c r="O78"/>
      <c r="P78"/>
    </row>
    <row r="79" spans="1:16" ht="21.75" customHeight="1">
      <c r="A79" s="1144" t="s">
        <v>455</v>
      </c>
      <c r="C79" s="310"/>
    </row>
    <row r="80" spans="1:16">
      <c r="B80" s="758" t="s">
        <v>6</v>
      </c>
      <c r="C80" s="96" t="s">
        <v>456</v>
      </c>
    </row>
    <row r="81" spans="2:27">
      <c r="B81" s="801"/>
      <c r="C81" s="802" t="s">
        <v>376</v>
      </c>
      <c r="D81" s="803" t="s">
        <v>428</v>
      </c>
      <c r="E81" s="772"/>
      <c r="F81" s="772"/>
      <c r="G81" s="772"/>
      <c r="H81" s="772"/>
      <c r="I81" s="795"/>
      <c r="J81" s="804"/>
      <c r="K81" s="798"/>
      <c r="L81" s="65">
        <v>0</v>
      </c>
      <c r="M81" s="177"/>
      <c r="N81" s="805"/>
    </row>
    <row r="82" spans="2:27">
      <c r="B82" s="801"/>
      <c r="C82" s="96" t="s">
        <v>377</v>
      </c>
      <c r="D82" s="806" t="s">
        <v>429</v>
      </c>
      <c r="E82" s="776"/>
      <c r="F82" s="776"/>
      <c r="G82" s="776"/>
      <c r="H82" s="776"/>
      <c r="I82" s="793"/>
      <c r="J82" s="807"/>
      <c r="K82" s="808"/>
      <c r="L82" s="66">
        <v>0</v>
      </c>
      <c r="M82" s="177"/>
      <c r="N82" s="805"/>
    </row>
    <row r="83" spans="2:27">
      <c r="B83" s="801"/>
      <c r="C83" s="96" t="s">
        <v>378</v>
      </c>
      <c r="D83" s="809" t="s">
        <v>430</v>
      </c>
      <c r="E83" s="772"/>
      <c r="F83" s="772"/>
      <c r="G83" s="772"/>
      <c r="H83" s="772"/>
      <c r="I83" s="795"/>
      <c r="J83" s="804"/>
      <c r="K83" s="798"/>
      <c r="L83" s="67">
        <v>0</v>
      </c>
      <c r="M83" s="177"/>
      <c r="N83" s="805"/>
    </row>
    <row r="84" spans="2:27" hidden="1">
      <c r="L84" s="14"/>
    </row>
    <row r="85" spans="2:27" hidden="1">
      <c r="L85" s="14"/>
    </row>
    <row r="86" spans="2:27" ht="13.5" customHeight="1">
      <c r="B86" s="758" t="s">
        <v>8</v>
      </c>
      <c r="C86" s="1064" t="s">
        <v>457</v>
      </c>
      <c r="D86" s="1065"/>
      <c r="E86" s="1065"/>
      <c r="F86" s="1065"/>
      <c r="G86" s="1065"/>
      <c r="H86" s="1065"/>
      <c r="I86" s="1065"/>
      <c r="J86" s="780"/>
      <c r="K86" s="1066"/>
      <c r="L86" s="64"/>
    </row>
    <row r="87" spans="2:27">
      <c r="B87" s="758" t="s">
        <v>22</v>
      </c>
      <c r="C87" s="803" t="s">
        <v>458</v>
      </c>
      <c r="D87" s="810"/>
      <c r="E87" s="810"/>
      <c r="F87" s="810"/>
      <c r="G87" s="810"/>
      <c r="H87" s="810"/>
      <c r="I87" s="810"/>
      <c r="J87" s="772"/>
      <c r="K87" s="798"/>
      <c r="L87" s="65"/>
      <c r="N87" s="805"/>
    </row>
    <row r="88" spans="2:27">
      <c r="B88" s="1448" t="s">
        <v>40</v>
      </c>
      <c r="C88" s="1198" t="s">
        <v>1154</v>
      </c>
      <c r="D88" s="1199"/>
      <c r="E88" s="1199"/>
      <c r="F88" s="776"/>
      <c r="G88" s="776"/>
      <c r="H88" s="776"/>
      <c r="I88" s="776"/>
      <c r="J88" s="776"/>
      <c r="K88" s="793"/>
      <c r="L88" s="1076"/>
      <c r="N88" s="805"/>
    </row>
    <row r="89" spans="2:27">
      <c r="B89" s="1448" t="s">
        <v>98</v>
      </c>
      <c r="C89" s="1836" t="s">
        <v>1155</v>
      </c>
      <c r="D89" s="1836"/>
      <c r="E89" s="1836"/>
      <c r="F89" s="1836"/>
      <c r="G89" s="1836"/>
      <c r="H89" s="1836"/>
      <c r="I89" s="1836"/>
      <c r="J89" s="1836"/>
      <c r="K89" s="1836"/>
      <c r="L89" s="65"/>
      <c r="N89" s="805"/>
    </row>
    <row r="90" spans="2:27">
      <c r="B90" s="758" t="s">
        <v>99</v>
      </c>
      <c r="C90" s="1837" t="s">
        <v>1156</v>
      </c>
      <c r="D90" s="1838"/>
      <c r="E90" s="1838"/>
      <c r="F90" s="1838"/>
      <c r="G90" s="1838"/>
      <c r="H90" s="1838"/>
      <c r="I90" s="1838"/>
      <c r="J90" s="1838"/>
      <c r="K90" s="1839"/>
      <c r="L90" s="1077"/>
      <c r="N90" s="805"/>
      <c r="AA90" s="1079" t="str">
        <f>IF((AND(L90&lt;&gt;"",C90="Other BSL Adjustment 1")),"Yes","")</f>
        <v/>
      </c>
    </row>
    <row r="91" spans="2:27">
      <c r="B91" s="758" t="s">
        <v>100</v>
      </c>
      <c r="C91" s="1819" t="s">
        <v>1157</v>
      </c>
      <c r="D91" s="1820"/>
      <c r="E91" s="1820"/>
      <c r="F91" s="1820"/>
      <c r="G91" s="1820"/>
      <c r="H91" s="1820"/>
      <c r="I91" s="1820"/>
      <c r="J91" s="1820"/>
      <c r="K91" s="1820"/>
      <c r="L91" s="65"/>
      <c r="N91" s="805"/>
      <c r="AA91" s="96" t="str">
        <f>IF((AND(L91&lt;&gt;"",C91="Other BSL Adjustment 2")),"Yes","")</f>
        <v/>
      </c>
    </row>
    <row r="92" spans="2:27">
      <c r="B92" s="811"/>
      <c r="C92" s="1"/>
      <c r="D92" s="1"/>
      <c r="E92" s="1"/>
      <c r="F92" s="1"/>
      <c r="G92" s="1"/>
      <c r="H92" s="1"/>
      <c r="I92" s="1"/>
      <c r="K92" s="1271"/>
      <c r="M92" s="175"/>
      <c r="N92" s="805"/>
    </row>
    <row r="93" spans="2:27" ht="15.75" customHeight="1">
      <c r="B93" s="1145" t="s">
        <v>459</v>
      </c>
      <c r="C93" s="119"/>
      <c r="D93" s="119"/>
      <c r="E93" s="119"/>
      <c r="F93" s="119"/>
      <c r="J93" s="1271"/>
      <c r="K93" s="1271"/>
      <c r="L93" s="805"/>
      <c r="M93" s="175"/>
      <c r="N93" s="805"/>
    </row>
    <row r="94" spans="2:27">
      <c r="B94" s="1261" t="s">
        <v>102</v>
      </c>
      <c r="C94" s="1198" t="s">
        <v>1311</v>
      </c>
      <c r="D94" s="1199"/>
      <c r="E94" s="1199"/>
      <c r="F94" s="776"/>
      <c r="G94" s="776"/>
      <c r="H94" s="776"/>
      <c r="I94" s="776"/>
      <c r="J94" s="776"/>
      <c r="K94" s="793"/>
      <c r="L94" s="85">
        <v>8584653</v>
      </c>
      <c r="M94" s="175"/>
      <c r="N94" s="805"/>
    </row>
    <row r="95" spans="2:27" ht="14.4">
      <c r="B95" s="1448" t="s">
        <v>103</v>
      </c>
      <c r="C95" s="794" t="s">
        <v>1312</v>
      </c>
      <c r="D95" s="772"/>
      <c r="E95" s="772"/>
      <c r="F95" s="772"/>
      <c r="G95" s="772"/>
      <c r="H95" s="772"/>
      <c r="I95" s="772"/>
      <c r="J95" s="772"/>
      <c r="K95" s="795"/>
      <c r="L95" s="86"/>
      <c r="M95" s="1827" t="str">
        <f>IF(AND(_PAV2&gt;0,P95&lt;&gt;"X"),"If the amount shown for Primary Assessed Valuation 2 (AV2) on page 6 of the District's most recent BSA 55-1 report from ADE is greater than 0, mark X in cell P95.","")</f>
        <v/>
      </c>
      <c r="N95" s="1828"/>
      <c r="O95" s="1828"/>
      <c r="P95" s="302"/>
      <c r="Q95" s="813"/>
      <c r="R95" s="813"/>
      <c r="S95" s="813"/>
      <c r="T95" s="813"/>
      <c r="U95" s="813"/>
      <c r="V95" s="813"/>
      <c r="W95" s="813"/>
      <c r="X95" s="813"/>
      <c r="Y95" s="813"/>
      <c r="Z95" s="813"/>
      <c r="AA95" s="813"/>
    </row>
    <row r="96" spans="2:27">
      <c r="B96" s="1261" t="s">
        <v>104</v>
      </c>
      <c r="C96" s="1198" t="s">
        <v>1313</v>
      </c>
      <c r="D96" s="1199"/>
      <c r="E96" s="1199"/>
      <c r="F96" s="1199"/>
      <c r="G96" s="776"/>
      <c r="H96" s="776"/>
      <c r="I96" s="776"/>
      <c r="J96" s="776"/>
      <c r="K96" s="793"/>
      <c r="L96" s="85"/>
      <c r="M96" s="1827"/>
      <c r="N96" s="1828"/>
      <c r="O96" s="1828"/>
    </row>
    <row r="97" spans="2:15">
      <c r="B97" s="1261" t="s">
        <v>105</v>
      </c>
      <c r="C97" s="794" t="s">
        <v>1314</v>
      </c>
      <c r="D97" s="772"/>
      <c r="E97" s="772"/>
      <c r="F97" s="772"/>
      <c r="G97" s="772"/>
      <c r="H97" s="772"/>
      <c r="I97" s="772"/>
      <c r="J97" s="772"/>
      <c r="K97" s="795"/>
      <c r="L97" s="86"/>
      <c r="M97" s="1827"/>
      <c r="N97" s="1828"/>
      <c r="O97" s="1828"/>
    </row>
    <row r="98" spans="2:15" ht="12" customHeight="1">
      <c r="B98" s="207"/>
      <c r="K98" s="1271"/>
      <c r="L98" s="1273"/>
      <c r="M98" s="175"/>
      <c r="N98" s="805"/>
    </row>
    <row r="99" spans="2:15" ht="15.75" customHeight="1">
      <c r="B99" s="1145" t="s">
        <v>460</v>
      </c>
      <c r="C99" s="119"/>
      <c r="D99" s="119"/>
      <c r="E99" s="119"/>
      <c r="F99" s="119"/>
      <c r="G99" s="119"/>
      <c r="K99" s="1271"/>
      <c r="L99" s="1273"/>
      <c r="M99" s="175"/>
      <c r="N99" s="805"/>
    </row>
    <row r="100" spans="2:15">
      <c r="B100" s="1448" t="s">
        <v>106</v>
      </c>
      <c r="C100" s="1198" t="s">
        <v>1315</v>
      </c>
      <c r="D100" s="1199"/>
      <c r="E100" s="1199"/>
      <c r="F100" s="776"/>
      <c r="G100" s="776"/>
      <c r="H100" s="776"/>
      <c r="I100" s="776"/>
      <c r="J100" s="776"/>
      <c r="K100" s="793"/>
      <c r="L100" s="64"/>
      <c r="M100" s="175"/>
      <c r="N100" s="805"/>
    </row>
    <row r="101" spans="2:15">
      <c r="B101" s="1448" t="s">
        <v>107</v>
      </c>
      <c r="C101" s="794" t="s">
        <v>1273</v>
      </c>
      <c r="D101" s="772"/>
      <c r="E101" s="772"/>
      <c r="F101" s="772"/>
      <c r="G101" s="772"/>
      <c r="H101" s="772"/>
      <c r="I101" s="772"/>
      <c r="J101" s="772"/>
      <c r="K101" s="798"/>
      <c r="L101" s="65">
        <v>1198448</v>
      </c>
      <c r="M101" s="175"/>
      <c r="N101" s="805"/>
    </row>
    <row r="102" spans="2:15">
      <c r="B102" s="1261" t="s">
        <v>108</v>
      </c>
      <c r="C102" s="1198" t="s">
        <v>1316</v>
      </c>
      <c r="D102" s="1199"/>
      <c r="E102" s="1199"/>
      <c r="F102" s="1199"/>
      <c r="G102" s="776"/>
      <c r="H102" s="776"/>
      <c r="I102" s="776"/>
      <c r="J102" s="776"/>
      <c r="K102" s="793"/>
      <c r="L102" s="1376"/>
      <c r="M102" s="175"/>
      <c r="N102" s="805"/>
    </row>
    <row r="103" spans="2:15">
      <c r="C103" s="1271" t="s">
        <v>376</v>
      </c>
      <c r="D103" s="872" t="s">
        <v>1158</v>
      </c>
      <c r="E103" s="334"/>
      <c r="F103" s="334"/>
      <c r="G103" s="334"/>
      <c r="H103" s="334"/>
      <c r="I103" s="334"/>
      <c r="J103" s="334"/>
      <c r="K103" s="1375"/>
      <c r="L103" s="67"/>
      <c r="M103" s="177"/>
      <c r="N103" s="805"/>
    </row>
    <row r="104" spans="2:15">
      <c r="C104" s="1271" t="s">
        <v>377</v>
      </c>
      <c r="D104" s="792" t="s">
        <v>461</v>
      </c>
      <c r="E104" s="776"/>
      <c r="F104" s="776"/>
      <c r="G104" s="776"/>
      <c r="H104" s="776"/>
      <c r="I104" s="776"/>
      <c r="J104" s="776"/>
      <c r="K104" s="793"/>
      <c r="L104" s="64"/>
      <c r="M104" s="177"/>
      <c r="N104" s="805"/>
    </row>
    <row r="105" spans="2:15">
      <c r="B105" s="207"/>
      <c r="C105" s="191" t="s">
        <v>378</v>
      </c>
      <c r="D105" s="792" t="s">
        <v>462</v>
      </c>
      <c r="E105" s="776"/>
      <c r="F105" s="776"/>
      <c r="G105" s="776"/>
      <c r="H105" s="776"/>
      <c r="I105" s="776"/>
      <c r="J105" s="776"/>
      <c r="K105" s="793"/>
      <c r="L105" s="64"/>
      <c r="M105" s="177"/>
      <c r="N105" s="805"/>
    </row>
    <row r="106" spans="2:15">
      <c r="B106" s="207"/>
      <c r="C106" s="191" t="s">
        <v>463</v>
      </c>
      <c r="D106" s="794" t="s">
        <v>1159</v>
      </c>
      <c r="E106" s="772"/>
      <c r="F106" s="772"/>
      <c r="G106" s="772"/>
      <c r="H106" s="772"/>
      <c r="I106" s="772"/>
      <c r="J106" s="772"/>
      <c r="K106" s="795"/>
      <c r="L106" s="65"/>
      <c r="M106" s="177"/>
      <c r="N106" s="805"/>
    </row>
    <row r="107" spans="2:15">
      <c r="B107" s="207"/>
      <c r="C107" s="1448" t="s">
        <v>498</v>
      </c>
      <c r="D107" s="815" t="s">
        <v>464</v>
      </c>
      <c r="E107" s="816"/>
      <c r="F107" s="816"/>
      <c r="G107" s="816"/>
      <c r="H107" s="816"/>
      <c r="I107" s="816"/>
      <c r="J107" s="816"/>
      <c r="K107" s="817"/>
      <c r="L107" s="77"/>
      <c r="M107" s="177"/>
      <c r="N107" s="805"/>
    </row>
    <row r="108" spans="2:15">
      <c r="B108" s="1261" t="s">
        <v>109</v>
      </c>
      <c r="C108" s="794" t="s">
        <v>1160</v>
      </c>
      <c r="D108" s="772"/>
      <c r="E108" s="772"/>
      <c r="F108" s="772"/>
      <c r="G108" s="772"/>
      <c r="H108" s="772"/>
      <c r="I108" s="772"/>
      <c r="J108" s="772"/>
      <c r="K108" s="795"/>
      <c r="L108" s="65"/>
      <c r="M108" s="175"/>
      <c r="N108" s="805"/>
    </row>
    <row r="109" spans="2:15" ht="12.75" customHeight="1">
      <c r="B109" s="207"/>
      <c r="K109" s="1271"/>
      <c r="L109" s="805"/>
      <c r="M109" s="175"/>
      <c r="N109" s="805"/>
    </row>
    <row r="110" spans="2:15" ht="15.75" customHeight="1">
      <c r="B110" s="818" t="s">
        <v>1161</v>
      </c>
      <c r="C110" s="119"/>
      <c r="D110" s="119"/>
      <c r="E110" s="119"/>
      <c r="F110" s="119"/>
      <c r="G110" s="119"/>
      <c r="H110" s="119"/>
      <c r="K110" s="1271"/>
      <c r="L110" s="805"/>
      <c r="M110" s="175"/>
      <c r="N110" s="805"/>
    </row>
    <row r="111" spans="2:15">
      <c r="B111" s="1448" t="s">
        <v>110</v>
      </c>
      <c r="C111" s="1198" t="s">
        <v>1280</v>
      </c>
      <c r="D111" s="1199"/>
      <c r="E111" s="1199"/>
      <c r="F111" s="776"/>
      <c r="G111" s="776"/>
      <c r="H111" s="776"/>
      <c r="I111" s="776"/>
      <c r="J111" s="776"/>
      <c r="K111" s="808"/>
      <c r="L111" s="64"/>
      <c r="M111" s="175"/>
      <c r="N111" s="805"/>
    </row>
    <row r="112" spans="2:15" ht="11.25" customHeight="1">
      <c r="B112" s="1261" t="s">
        <v>111</v>
      </c>
      <c r="C112" s="794" t="s">
        <v>1281</v>
      </c>
      <c r="D112" s="772"/>
      <c r="E112" s="772"/>
      <c r="F112" s="772"/>
      <c r="G112" s="772"/>
      <c r="H112" s="772"/>
      <c r="I112" s="772"/>
      <c r="J112" s="772"/>
      <c r="K112" s="1149"/>
      <c r="L112" s="65"/>
      <c r="M112" s="175"/>
      <c r="N112" s="805"/>
    </row>
    <row r="113" spans="2:17" ht="11.25" customHeight="1">
      <c r="B113" s="1448" t="s">
        <v>112</v>
      </c>
      <c r="C113" s="1200" t="s">
        <v>1317</v>
      </c>
      <c r="D113" s="1150"/>
      <c r="E113" s="1150"/>
      <c r="F113" s="1150"/>
      <c r="G113" s="1150"/>
      <c r="H113" s="1150"/>
      <c r="I113" s="1150"/>
      <c r="J113" s="1150"/>
      <c r="K113" s="808"/>
      <c r="L113" s="64"/>
      <c r="M113" s="175"/>
      <c r="O113" s="805" t="s">
        <v>465</v>
      </c>
      <c r="Q113" s="796">
        <f>Calculations!O121</f>
        <v>0</v>
      </c>
    </row>
    <row r="114" spans="2:17" ht="11.25" customHeight="1">
      <c r="B114" s="1448" t="s">
        <v>113</v>
      </c>
      <c r="C114" s="771" t="s">
        <v>1283</v>
      </c>
      <c r="D114" s="799"/>
      <c r="E114" s="799"/>
      <c r="F114" s="799"/>
      <c r="G114" s="799"/>
      <c r="H114" s="799"/>
      <c r="I114" s="799"/>
      <c r="J114" s="799"/>
      <c r="K114" s="798"/>
      <c r="L114" s="65"/>
      <c r="M114" s="175"/>
      <c r="N114" s="805"/>
    </row>
    <row r="115" spans="2:17" ht="11.25" customHeight="1">
      <c r="B115" s="1261" t="s">
        <v>114</v>
      </c>
      <c r="C115" s="1198" t="s">
        <v>1284</v>
      </c>
      <c r="D115" s="1315"/>
      <c r="E115" s="1315"/>
      <c r="F115" s="820"/>
      <c r="G115" s="820"/>
      <c r="H115" s="820"/>
      <c r="I115" s="820"/>
      <c r="J115" s="820"/>
      <c r="K115" s="808"/>
      <c r="L115" s="64"/>
      <c r="M115" s="175"/>
      <c r="N115" s="805"/>
    </row>
    <row r="116" spans="2:17" ht="11.25" customHeight="1">
      <c r="B116" s="1078"/>
      <c r="D116" s="1309"/>
      <c r="E116" s="1309"/>
      <c r="F116" s="1309"/>
      <c r="G116" s="1309"/>
      <c r="H116" s="1309"/>
      <c r="I116" s="1309"/>
      <c r="J116" s="1309"/>
      <c r="K116" s="1271"/>
      <c r="L116" s="805"/>
      <c r="M116" s="175"/>
      <c r="N116" s="805"/>
    </row>
    <row r="117" spans="2:17" s="119" customFormat="1" ht="15.75" customHeight="1" thickBot="1">
      <c r="B117" s="818" t="s">
        <v>466</v>
      </c>
      <c r="D117" s="1276"/>
      <c r="E117" s="1276"/>
      <c r="F117" s="1276"/>
      <c r="G117" s="1276"/>
      <c r="H117" s="1276"/>
      <c r="I117" s="1276"/>
      <c r="J117" s="1276"/>
      <c r="K117" s="821"/>
      <c r="L117" s="822"/>
      <c r="M117" s="823"/>
      <c r="N117" s="822"/>
    </row>
    <row r="118" spans="2:17" ht="11.25" customHeight="1" thickBot="1">
      <c r="B118" s="1448" t="s">
        <v>115</v>
      </c>
      <c r="C118" s="59"/>
      <c r="D118" s="1309"/>
      <c r="E118" s="1689" t="s">
        <v>898</v>
      </c>
      <c r="F118" s="1689"/>
      <c r="G118" s="1689"/>
      <c r="H118" s="1689"/>
      <c r="I118" s="1689"/>
      <c r="J118" s="1689"/>
      <c r="K118" s="1831" t="str">
        <f>IF(AND(SSAPhaseDownCheckbox="X",SSAFYExceeded=""),"COMPLETE LINE 22 BELOW"," ")</f>
        <v xml:space="preserve"> </v>
      </c>
      <c r="L118" s="1831"/>
      <c r="M118" s="175"/>
      <c r="N118" s="805"/>
    </row>
    <row r="119" spans="2:17" ht="24" customHeight="1">
      <c r="B119" s="1449"/>
      <c r="C119" s="1354"/>
      <c r="D119" s="1309"/>
      <c r="E119" s="1689"/>
      <c r="F119" s="1689"/>
      <c r="G119" s="1689"/>
      <c r="H119" s="1689"/>
      <c r="I119" s="1689"/>
      <c r="J119" s="1689"/>
      <c r="K119" s="1831"/>
      <c r="L119" s="1831"/>
      <c r="M119" s="175"/>
      <c r="N119" s="805"/>
    </row>
    <row r="120" spans="2:17" ht="11.25" customHeight="1">
      <c r="B120" s="1078"/>
      <c r="D120" s="1309"/>
      <c r="E120" s="1"/>
      <c r="F120" s="1309"/>
      <c r="G120" s="1309"/>
      <c r="H120" s="1309"/>
      <c r="I120" s="1309"/>
      <c r="J120" s="1309"/>
      <c r="K120" s="1271"/>
      <c r="L120" s="805"/>
      <c r="M120" s="175"/>
      <c r="N120" s="805"/>
    </row>
    <row r="121" spans="2:17" ht="11.25" customHeight="1">
      <c r="B121" s="1448" t="s">
        <v>116</v>
      </c>
      <c r="C121" s="1829" t="s">
        <v>467</v>
      </c>
      <c r="D121" s="1830"/>
      <c r="E121" s="1830"/>
      <c r="F121" s="1830"/>
      <c r="G121" s="1830"/>
      <c r="H121" s="1830"/>
      <c r="I121" s="1830"/>
      <c r="J121" s="1830"/>
      <c r="K121" s="798" t="s">
        <v>3</v>
      </c>
      <c r="L121" s="74"/>
      <c r="M121" s="175"/>
      <c r="N121" s="805"/>
    </row>
    <row r="122" spans="2:17" ht="23.25" customHeight="1">
      <c r="B122" s="785" t="s">
        <v>117</v>
      </c>
      <c r="C122" s="1825" t="s">
        <v>468</v>
      </c>
      <c r="D122" s="1826"/>
      <c r="E122" s="1826"/>
      <c r="F122" s="1826"/>
      <c r="G122" s="1826"/>
      <c r="H122" s="1826"/>
      <c r="I122" s="1826"/>
      <c r="J122" s="1826"/>
      <c r="K122" s="808"/>
      <c r="L122" s="66"/>
      <c r="M122" s="175"/>
      <c r="N122" s="805"/>
    </row>
    <row r="123" spans="2:17" ht="11.25" customHeight="1">
      <c r="B123" s="812"/>
      <c r="C123" s="1309"/>
      <c r="D123" s="1309"/>
      <c r="E123" s="1309"/>
      <c r="F123" s="1309"/>
      <c r="G123" s="1309"/>
      <c r="H123" s="1309"/>
      <c r="I123" s="1309"/>
      <c r="J123" s="1309"/>
      <c r="K123" s="1271"/>
      <c r="L123" s="805"/>
      <c r="M123" s="175"/>
      <c r="N123" s="805"/>
    </row>
    <row r="124" spans="2:17" ht="15.75" customHeight="1">
      <c r="B124" s="818" t="s">
        <v>469</v>
      </c>
      <c r="C124" s="1309"/>
      <c r="D124" s="1309"/>
      <c r="E124" s="1309"/>
      <c r="F124" s="1309"/>
      <c r="G124" s="1309"/>
      <c r="H124" s="1309"/>
      <c r="I124" s="1309"/>
      <c r="J124" s="1309"/>
      <c r="K124" s="1271"/>
      <c r="L124" s="805"/>
      <c r="M124" s="175"/>
      <c r="N124" s="805"/>
    </row>
    <row r="125" spans="2:17" ht="36" customHeight="1">
      <c r="B125" s="818"/>
      <c r="C125" s="1689" t="s">
        <v>470</v>
      </c>
      <c r="D125" s="1834"/>
      <c r="E125" s="1834"/>
      <c r="F125" s="1834"/>
      <c r="G125" s="1834"/>
      <c r="H125" s="1834"/>
      <c r="I125" s="1834"/>
      <c r="J125" s="1834"/>
      <c r="K125" s="1271"/>
      <c r="L125" s="805"/>
      <c r="M125" s="175"/>
      <c r="N125" s="805"/>
    </row>
    <row r="126" spans="2:17" ht="10.5" customHeight="1">
      <c r="B126" s="818"/>
      <c r="C126" s="1309"/>
      <c r="D126" s="1309"/>
      <c r="E126" s="1309"/>
      <c r="F126" s="1309"/>
      <c r="G126" s="1309"/>
      <c r="H126" s="1309"/>
      <c r="I126" s="1309"/>
      <c r="J126" s="1309"/>
      <c r="K126" s="1271"/>
      <c r="L126" s="805"/>
      <c r="M126" s="175"/>
      <c r="N126" s="805"/>
    </row>
    <row r="127" spans="2:17" ht="11.25" customHeight="1">
      <c r="B127" s="1261" t="s">
        <v>119</v>
      </c>
      <c r="C127" s="794" t="s">
        <v>471</v>
      </c>
      <c r="D127" s="819"/>
      <c r="E127" s="810"/>
      <c r="F127" s="819"/>
      <c r="G127" s="819"/>
      <c r="H127" s="819"/>
      <c r="I127" s="819"/>
      <c r="J127" s="819"/>
      <c r="K127" s="798" t="s">
        <v>3</v>
      </c>
      <c r="L127" s="75"/>
      <c r="M127" s="175"/>
      <c r="N127" s="805"/>
    </row>
    <row r="128" spans="2:17" ht="11.25" customHeight="1">
      <c r="B128" s="1261" t="s">
        <v>120</v>
      </c>
      <c r="C128" s="792" t="s">
        <v>472</v>
      </c>
      <c r="D128" s="820"/>
      <c r="E128" s="824"/>
      <c r="F128" s="820"/>
      <c r="G128" s="820"/>
      <c r="H128" s="820"/>
      <c r="I128" s="820"/>
      <c r="J128" s="820"/>
      <c r="K128" s="808"/>
      <c r="L128" s="62"/>
      <c r="M128" s="175"/>
      <c r="N128" s="805"/>
    </row>
    <row r="129" spans="1:15" ht="23.25" customHeight="1">
      <c r="B129" s="1261" t="s">
        <v>122</v>
      </c>
      <c r="C129" s="1829" t="s">
        <v>473</v>
      </c>
      <c r="D129" s="1830"/>
      <c r="E129" s="1830"/>
      <c r="F129" s="1830"/>
      <c r="G129" s="1830"/>
      <c r="H129" s="1830"/>
      <c r="I129" s="1830"/>
      <c r="J129" s="1830"/>
      <c r="K129" s="798"/>
      <c r="L129" s="76"/>
      <c r="M129" s="175"/>
      <c r="N129" s="805"/>
    </row>
    <row r="130" spans="1:15" ht="11.25" customHeight="1">
      <c r="B130" s="1261" t="s">
        <v>123</v>
      </c>
      <c r="C130" s="792" t="s">
        <v>474</v>
      </c>
      <c r="D130" s="820"/>
      <c r="E130" s="824"/>
      <c r="F130" s="820"/>
      <c r="G130" s="820"/>
      <c r="H130" s="820"/>
      <c r="I130" s="820"/>
      <c r="J130" s="820"/>
      <c r="K130" s="808"/>
      <c r="L130" s="64"/>
      <c r="M130" s="175"/>
      <c r="N130" s="805"/>
    </row>
    <row r="131" spans="1:15" ht="11.25" customHeight="1" thickBot="1">
      <c r="B131" s="1261" t="s">
        <v>124</v>
      </c>
      <c r="C131" s="794" t="s">
        <v>475</v>
      </c>
      <c r="D131" s="819"/>
      <c r="E131" s="810"/>
      <c r="F131" s="819"/>
      <c r="G131" s="819"/>
      <c r="H131" s="819"/>
      <c r="I131" s="819"/>
      <c r="J131" s="819"/>
      <c r="K131" s="798"/>
      <c r="L131" s="65"/>
      <c r="M131" s="175"/>
      <c r="N131" s="805"/>
    </row>
    <row r="132" spans="1:15" ht="4.5" hidden="1" customHeight="1">
      <c r="B132" s="785"/>
      <c r="D132" s="1309"/>
      <c r="E132" s="1"/>
      <c r="F132" s="1309"/>
      <c r="G132" s="1309"/>
      <c r="H132" s="1309"/>
      <c r="I132" s="1309"/>
      <c r="J132" s="1309"/>
      <c r="K132" s="1271"/>
      <c r="L132" s="805"/>
      <c r="M132" s="175"/>
      <c r="N132" s="805"/>
    </row>
    <row r="133" spans="1:15" ht="11.25" customHeight="1" thickBot="1">
      <c r="B133" s="1264" t="s">
        <v>125</v>
      </c>
      <c r="C133" s="59"/>
      <c r="D133" s="1309"/>
      <c r="E133" s="1832" t="s">
        <v>476</v>
      </c>
      <c r="F133" s="1832"/>
      <c r="G133" s="1832"/>
      <c r="H133" s="1832"/>
      <c r="I133" s="1832"/>
      <c r="J133" s="826"/>
      <c r="K133" s="814"/>
      <c r="L133" s="827"/>
      <c r="M133" s="175"/>
      <c r="N133" s="805"/>
    </row>
    <row r="134" spans="1:15" ht="15.75" customHeight="1">
      <c r="B134" s="199"/>
      <c r="D134" s="1309"/>
      <c r="E134" s="1833"/>
      <c r="F134" s="1833"/>
      <c r="G134" s="1833"/>
      <c r="H134" s="1833"/>
      <c r="I134" s="1833"/>
      <c r="J134" s="826"/>
      <c r="K134" s="814"/>
      <c r="L134" s="827"/>
      <c r="M134" s="175"/>
      <c r="N134" s="805"/>
    </row>
    <row r="135" spans="1:15" ht="11.25" customHeight="1">
      <c r="B135" s="1261" t="s">
        <v>126</v>
      </c>
      <c r="C135" s="794" t="s">
        <v>1162</v>
      </c>
      <c r="D135" s="819"/>
      <c r="E135" s="810"/>
      <c r="F135" s="819"/>
      <c r="G135" s="819"/>
      <c r="H135" s="819"/>
      <c r="I135" s="819"/>
      <c r="J135" s="819"/>
      <c r="K135" s="798"/>
      <c r="L135" s="76"/>
      <c r="M135" s="175"/>
      <c r="N135" s="805"/>
    </row>
    <row r="136" spans="1:15" ht="11.25" customHeight="1">
      <c r="B136" s="1261" t="s">
        <v>248</v>
      </c>
      <c r="C136" s="792" t="s">
        <v>1163</v>
      </c>
      <c r="D136" s="820"/>
      <c r="E136" s="824"/>
      <c r="F136" s="820"/>
      <c r="G136" s="820"/>
      <c r="H136" s="820"/>
      <c r="I136" s="820"/>
      <c r="J136" s="820"/>
      <c r="K136" s="808"/>
      <c r="L136" s="61"/>
      <c r="M136" s="175"/>
      <c r="N136" s="805"/>
    </row>
    <row r="137" spans="1:15" ht="11.25" customHeight="1">
      <c r="B137" s="812"/>
      <c r="D137" s="1309"/>
      <c r="E137" s="1"/>
      <c r="F137" s="1309"/>
      <c r="G137" s="1309"/>
      <c r="H137" s="1309"/>
      <c r="I137" s="1309"/>
      <c r="J137" s="1309"/>
      <c r="K137" s="1271"/>
      <c r="L137" s="805"/>
      <c r="M137" s="175"/>
      <c r="N137" s="805"/>
    </row>
    <row r="138" spans="1:15" ht="21.75" customHeight="1">
      <c r="A138" s="1144" t="s">
        <v>477</v>
      </c>
    </row>
    <row r="139" spans="1:15" ht="24" customHeight="1">
      <c r="B139" s="812" t="s">
        <v>6</v>
      </c>
      <c r="C139" s="1829" t="s">
        <v>478</v>
      </c>
      <c r="D139" s="1830"/>
      <c r="E139" s="1830"/>
      <c r="F139" s="1830"/>
      <c r="G139" s="1830"/>
      <c r="H139" s="1830"/>
      <c r="I139" s="1830"/>
      <c r="J139" s="1830"/>
      <c r="K139" s="1835"/>
      <c r="L139" s="80"/>
      <c r="O139" s="1299"/>
    </row>
    <row r="141" spans="1:15" ht="21.75" customHeight="1" thickBot="1">
      <c r="A141" s="1144" t="s">
        <v>479</v>
      </c>
      <c r="C141" s="310"/>
    </row>
    <row r="142" spans="1:15" ht="12" customHeight="1" thickBot="1">
      <c r="A142" s="310"/>
      <c r="B142" s="758" t="s">
        <v>6</v>
      </c>
      <c r="C142" s="59"/>
      <c r="E142" s="119" t="s">
        <v>480</v>
      </c>
    </row>
    <row r="143" spans="1:15" ht="34.5" customHeight="1">
      <c r="A143" s="310"/>
      <c r="B143" s="828"/>
      <c r="C143" s="1821" t="s">
        <v>481</v>
      </c>
      <c r="D143" s="1821"/>
      <c r="E143" s="1821"/>
      <c r="F143" s="1821"/>
      <c r="G143" s="1821"/>
      <c r="H143" s="1821"/>
      <c r="I143" s="1821"/>
      <c r="J143" s="1821"/>
      <c r="K143" s="1821"/>
    </row>
    <row r="144" spans="1:15" ht="12" customHeight="1">
      <c r="A144" s="310"/>
      <c r="B144" s="758" t="s">
        <v>8</v>
      </c>
      <c r="C144" s="1198" t="s">
        <v>1318</v>
      </c>
      <c r="D144" s="1199"/>
      <c r="E144" s="1150"/>
      <c r="F144" s="1199"/>
      <c r="G144" s="1199"/>
      <c r="H144" s="776"/>
      <c r="I144" s="776"/>
      <c r="J144" s="776"/>
      <c r="K144" s="808"/>
      <c r="L144" s="1500"/>
    </row>
    <row r="145" spans="2:12">
      <c r="B145" s="411" t="s">
        <v>22</v>
      </c>
      <c r="C145" s="794" t="s">
        <v>1278</v>
      </c>
      <c r="D145" s="772"/>
      <c r="E145" s="772"/>
      <c r="F145" s="772"/>
      <c r="G145" s="772"/>
      <c r="H145" s="772"/>
      <c r="I145" s="772"/>
      <c r="J145" s="772"/>
      <c r="K145" s="798"/>
      <c r="L145" s="67"/>
    </row>
    <row r="146" spans="2:12">
      <c r="B146" s="207" t="s">
        <v>40</v>
      </c>
      <c r="C146" s="1198" t="s">
        <v>1279</v>
      </c>
      <c r="D146" s="1199"/>
      <c r="E146" s="1199"/>
      <c r="F146" s="1199"/>
      <c r="G146" s="1199"/>
      <c r="H146" s="1199"/>
      <c r="I146" s="776"/>
      <c r="J146" s="776"/>
      <c r="K146" s="808" t="s">
        <v>273</v>
      </c>
      <c r="L146" s="64"/>
    </row>
  </sheetData>
  <sheetProtection sheet="1" formatCells="0" formatColumns="0" formatRows="0"/>
  <mergeCells count="37">
    <mergeCell ref="C66:K66"/>
    <mergeCell ref="G22:H22"/>
    <mergeCell ref="G15:H15"/>
    <mergeCell ref="G16:H16"/>
    <mergeCell ref="G18:H18"/>
    <mergeCell ref="G20:H20"/>
    <mergeCell ref="E1:G1"/>
    <mergeCell ref="B26:K26"/>
    <mergeCell ref="C28:E28"/>
    <mergeCell ref="E59:K59"/>
    <mergeCell ref="F3:I3"/>
    <mergeCell ref="K28:N29"/>
    <mergeCell ref="L5:M12"/>
    <mergeCell ref="C29:E29"/>
    <mergeCell ref="L27:O27"/>
    <mergeCell ref="C10:I10"/>
    <mergeCell ref="A1:D1"/>
    <mergeCell ref="I1:J1"/>
    <mergeCell ref="C3:E3"/>
    <mergeCell ref="C6:H6"/>
    <mergeCell ref="C7:H7"/>
    <mergeCell ref="C91:K91"/>
    <mergeCell ref="C143:K143"/>
    <mergeCell ref="K31:M35"/>
    <mergeCell ref="B37:E37"/>
    <mergeCell ref="C122:J122"/>
    <mergeCell ref="E118:J119"/>
    <mergeCell ref="M95:O97"/>
    <mergeCell ref="C121:J121"/>
    <mergeCell ref="K118:L119"/>
    <mergeCell ref="E133:I134"/>
    <mergeCell ref="C129:J129"/>
    <mergeCell ref="C125:J125"/>
    <mergeCell ref="C139:K139"/>
    <mergeCell ref="C89:K89"/>
    <mergeCell ref="C90:K90"/>
    <mergeCell ref="C74:F74"/>
  </mergeCells>
  <conditionalFormatting sqref="C90:K90">
    <cfRule type="expression" dxfId="4" priority="2">
      <formula>AND(L90&lt;&gt;"",C90="Other BSL Adjustment 1")</formula>
    </cfRule>
  </conditionalFormatting>
  <conditionalFormatting sqref="C91:K91">
    <cfRule type="expression" dxfId="3" priority="1">
      <formula>AND(L91&lt;&gt;"",C91="Other BSL Adjustment 2")</formula>
    </cfRule>
    <cfRule type="expression" dxfId="2" priority="7">
      <formula>AA91="yes"</formula>
    </cfRule>
  </conditionalFormatting>
  <conditionalFormatting sqref="G22">
    <cfRule type="containsBlanks" dxfId="1" priority="6">
      <formula>LEN(TRIM(G22))=0</formula>
    </cfRule>
  </conditionalFormatting>
  <conditionalFormatting sqref="I31:I33">
    <cfRule type="expression" dxfId="0" priority="14" stopIfTrue="1">
      <formula>OR(#REF!&lt;&gt;"",#REF!&lt;&gt;"")</formula>
    </cfRule>
  </conditionalFormatting>
  <dataValidations xWindow="786" yWindow="800" count="14">
    <dataValidation type="list" allowBlank="1" showInputMessage="1" showErrorMessage="1" sqref="P95 C63 C59:D59 C118 C133 C142 P27" xr:uid="{00000000-0002-0000-0F00-000000000000}">
      <formula1>"X"</formula1>
    </dataValidation>
    <dataValidation allowBlank="1" showInputMessage="1" showErrorMessage="1" prompt="If negative, enter amount in parentheses." sqref="L100:L101 L103:L107" xr:uid="{00000000-0002-0000-0F00-000001000000}"/>
    <dataValidation type="whole" allowBlank="1" showInputMessage="1" showErrorMessage="1" errorTitle="Check date entry" error="Fiscal Year must be entered as a four-digit number." prompt="Enter a four-digit fiscal year." sqref="L121 L127" xr:uid="{00000000-0002-0000-0F00-000002000000}">
      <formula1>1912</formula1>
      <formula2>2100</formula2>
    </dataValidation>
    <dataValidation allowBlank="1" sqref="L108:L109 L144" xr:uid="{00000000-0002-0000-0F00-000003000000}"/>
    <dataValidation allowBlank="1" showInputMessage="1" showErrorMessage="1" prompt="Enter the FULL assessed valuation." sqref="L96:L98" xr:uid="{00000000-0002-0000-0F00-000004000000}"/>
    <dataValidation allowBlank="1" showInputMessage="1" showErrorMessage="1" promptTitle="ALERT" prompt="This situation is very rare. _x000a_Enter the full NET assessed valuation ONLY AFTER VERIFYING that the District shows an amount for Primary Assessed Valuation 2 (AV2) on Page 6 of its most recent APOR55-1 report from ADE._x000a_" sqref="L95" xr:uid="{00000000-0002-0000-0F00-000005000000}"/>
    <dataValidation allowBlank="1" showInputMessage="1" showErrorMessage="1" prompt="Enter the full NET assessed valuation." sqref="L94" xr:uid="{00000000-0002-0000-0F00-000006000000}"/>
    <dataValidation type="custom" allowBlank="1" showInputMessage="1" showErrorMessage="1" errorTitle="Amount should be negative" error="Amount will be negative, please use parentheses or minus sign to enter the reduction." prompt="Leave blank for budget adoption. Enter amount in parentheses." sqref="L86" xr:uid="{00000000-0002-0000-0F00-000007000000}">
      <formula1>L86&lt;0</formula1>
    </dataValidation>
    <dataValidation type="list" allowBlank="1" showInputMessage="1" showErrorMessage="1" sqref="D15" xr:uid="{00000000-0002-0000-0F00-000008000000}">
      <formula1>$M$1:$Q$1</formula1>
    </dataValidation>
    <dataValidation type="list" allowBlank="1" showInputMessage="1" showErrorMessage="1" sqref="G22" xr:uid="{00000000-0002-0000-0F00-000009000000}">
      <formula1>"Capital Projects, General"</formula1>
    </dataValidation>
    <dataValidation allowBlank="1" showInputMessage="1" showErrorMessage="1" promptTitle="District's home page web address" prompt="Please include www. when entering the web address of the district's home page." sqref="H21" xr:uid="{00000000-0002-0000-0F00-00000A000000}"/>
    <dataValidation allowBlank="1" promptTitle="District's home page web address" prompt="Please include www. when entering the web address of the district's home page." sqref="I21" xr:uid="{00000000-0002-0000-0F00-00000B000000}"/>
    <dataValidation type="list" showInputMessage="1" showErrorMessage="1" error="Please select a vendor from the drop down list." sqref="G16:H16" xr:uid="{00000000-0002-0000-0F00-00000C000000}">
      <formula1>$N$12:$N$26</formula1>
    </dataValidation>
    <dataValidation type="list" allowBlank="1" showInputMessage="1" showErrorMessage="1" promptTitle="Accounting Information System" prompt="Select the accounting information system the district will use in the budget year from the dropdown list." sqref="G18:H18" xr:uid="{00000000-0002-0000-0F00-00000D000000}">
      <formula1>$O$12:$O$15</formula1>
    </dataValidation>
  </dataValidations>
  <hyperlinks>
    <hyperlink ref="B42" location="DataEntryUSCSCAl7" display="7." xr:uid="{00000000-0004-0000-0F00-000000000000}"/>
    <hyperlink ref="B59" location="DataEntryOtherBSLBRCLAdjl1" display="1." xr:uid="{00000000-0004-0000-0F00-000001000000}"/>
    <hyperlink ref="B63" location="DataEntryOtherBSLBRCLAdjl3" display="3." xr:uid="{00000000-0004-0000-0F00-000002000000}"/>
    <hyperlink ref="B66" location="DataEntryOtherBSLBRCLAdjl5" display="5." xr:uid="{00000000-0004-0000-0F00-000003000000}"/>
    <hyperlink ref="B67" location="DataEntryOtherBSLBRCLAdjl6" display="6." xr:uid="{00000000-0004-0000-0F00-000004000000}"/>
    <hyperlink ref="B74:B75" location="DataEntryTransl3" display="3." xr:uid="{00000000-0004-0000-0F00-000005000000}"/>
    <hyperlink ref="B76" location="DataEntryTransl5" display="5." xr:uid="{00000000-0004-0000-0F00-000006000000}"/>
    <hyperlink ref="B80" location="DataEntryOtherInfol1" display="1." xr:uid="{00000000-0004-0000-0F00-000007000000}"/>
    <hyperlink ref="B100" location="DataEntryOtherInfol12" display="12." xr:uid="{00000000-0004-0000-0F00-000008000000}"/>
    <hyperlink ref="B101" location="DataEntryOtherInfol13" display="13." xr:uid="{00000000-0004-0000-0F00-000009000000}"/>
    <hyperlink ref="C107" location="DataEntryOtherInfol14e" display="e." xr:uid="{00000000-0004-0000-0F00-00000A000000}"/>
    <hyperlink ref="B144" location="DataEntryType01Infol2" display="2." xr:uid="{00000000-0004-0000-0F00-00000B000000}"/>
    <hyperlink ref="B87" location="DataEntryOtherInfol3" display="3." xr:uid="{00000000-0004-0000-0F00-00000C000000}"/>
    <hyperlink ref="B111" location="DataEntryOtherInfol16" display="16." xr:uid="{00000000-0004-0000-0F00-00000D000000}"/>
    <hyperlink ref="B113" location="DataEntryOtherInfol18" display="18." xr:uid="{00000000-0004-0000-0F00-00000E000000}"/>
    <hyperlink ref="B114" location="DataEntryOtherInfol19" display="19." xr:uid="{00000000-0004-0000-0F00-00000F000000}"/>
    <hyperlink ref="B118" location="DataEntryOtherInfol21" display="21." xr:uid="{00000000-0004-0000-0F00-000010000000}"/>
    <hyperlink ref="B121" location="DataEntryOtherInfol22" display="22." xr:uid="{00000000-0004-0000-0F00-000011000000}"/>
    <hyperlink ref="B28" location="DataEntryUSCl1" display="1." xr:uid="{00000000-0004-0000-0F00-000012000000}"/>
    <hyperlink ref="B29" location="DataEntryUSCl2" display="2. " xr:uid="{00000000-0004-0000-0F00-000013000000}"/>
    <hyperlink ref="B31:B33" location="DataEntryUSCl345" display="3." xr:uid="{00000000-0004-0000-0F00-000014000000}"/>
    <hyperlink ref="B37:E37" location="DataEntryUSCSCAl720" display="STUDENT COUNT ADD-ONS" xr:uid="{00000000-0004-0000-0F00-000015000000}"/>
    <hyperlink ref="B44" location="DataEntryUSCSCAl11" display="11." xr:uid="{00000000-0004-0000-0F00-000016000000}"/>
    <hyperlink ref="B45" location="DataEntryUSCSCAl12" display="12." xr:uid="{00000000-0004-0000-0F00-000017000000}"/>
    <hyperlink ref="B50" location="DataEntryUSCSCAl17" display="17." xr:uid="{00000000-0004-0000-0F00-000018000000}"/>
    <hyperlink ref="B65" location="DataEntryOtherBSLBRCLAdjl4" display="4." xr:uid="{00000000-0004-0000-0F00-000019000000}"/>
    <hyperlink ref="B68" location="DataEntryOtherBSLBRCLAdjl7" display="7." xr:uid="{00000000-0004-0000-0F00-00001A000000}"/>
    <hyperlink ref="B72:B73" location="DataEntryTransl1" display="1." xr:uid="{00000000-0004-0000-0F00-00001B000000}"/>
    <hyperlink ref="B40" location="DataEntryUSCSCAl9" display="9." xr:uid="{00000000-0004-0000-0F00-00001C000000}"/>
    <hyperlink ref="B43" location="DataEntryUSCSCAl10" display="10." xr:uid="{00000000-0004-0000-0F00-00001D000000}"/>
    <hyperlink ref="B46" location="DataEntryUSCSCAl13" display="13." xr:uid="{00000000-0004-0000-0F00-00001E000000}"/>
    <hyperlink ref="B47" location="DataEntryUSCSCAl14" display="14." xr:uid="{00000000-0004-0000-0F00-00001F000000}"/>
    <hyperlink ref="B48" location="DataEntryUSCSCAl15" display="15." xr:uid="{00000000-0004-0000-0F00-000020000000}"/>
    <hyperlink ref="B49" location="DataEntryUSCSCAl16" display="16." xr:uid="{00000000-0004-0000-0F00-000021000000}"/>
    <hyperlink ref="B51" location="DataEntryUSCSCAl18" display="18." xr:uid="{00000000-0004-0000-0F00-000022000000}"/>
    <hyperlink ref="B52" location="DataEntryUSCSCAl19" display="19." xr:uid="{00000000-0004-0000-0F00-000023000000}"/>
    <hyperlink ref="B53" location="DataEntryUSCSCAl20" display="20." xr:uid="{00000000-0004-0000-0F00-000024000000}"/>
    <hyperlink ref="B142" location="DataEntryType01Infol1" display="1." xr:uid="{00000000-0004-0000-0F00-000025000000}"/>
    <hyperlink ref="B41" location="DataEntryUSCSCAl7" display="8." xr:uid="{00000000-0004-0000-0F00-000026000000}"/>
    <hyperlink ref="C81" location="DataEntryOtherInfol1Continued" display="a." xr:uid="{00000000-0004-0000-0F00-000027000000}"/>
    <hyperlink ref="B86" location="DataEntryOtherInfol2" display="2." xr:uid="{00000000-0004-0000-0F00-000028000000}"/>
    <hyperlink ref="B55" location="DataEntryUSCSCAl21" display="21." xr:uid="{00000000-0004-0000-0F00-000029000000}"/>
    <hyperlink ref="B54" location="DataEntryUSCSCAl23" display="23." xr:uid="{00000000-0004-0000-0F00-00002A000000}"/>
    <hyperlink ref="B88" location="DataEntryOtherInfol4" display="4." xr:uid="{00000000-0004-0000-0F00-00002B000000}"/>
    <hyperlink ref="B89" location="DataEntryOtherInfol5" display="5." xr:uid="{00000000-0004-0000-0F00-00002C000000}"/>
    <hyperlink ref="B90" location="DataEntryOtherInfol6" display="6." xr:uid="{00000000-0004-0000-0F00-00002D000000}"/>
    <hyperlink ref="B91" location="DataEntryOtherInfol7" display="7." xr:uid="{00000000-0004-0000-0F00-00002E000000}"/>
    <hyperlink ref="B95" location="DataEntryOtherInfol9" display="9." xr:uid="{00000000-0004-0000-0F00-00002F000000}"/>
    <hyperlink ref="B22:E22" location="UCOFundType" display="UCO Fund Type" xr:uid="{00000000-0004-0000-0F00-000030000000}"/>
    <hyperlink ref="G15:H15" location="DistrictSystems" display="SELECT from Dropdown" xr:uid="{00000000-0004-0000-0F00-000031000000}"/>
    <hyperlink ref="C3" location="DataEntryGeneral" display="Instructions" xr:uid="{00000000-0004-0000-0F00-000032000000}"/>
  </hyperlinks>
  <printOptions horizontalCentered="1"/>
  <pageMargins left="0.25" right="0.25" top="0.25" bottom="0.25" header="0" footer="0.15"/>
  <pageSetup paperSize="5" scale="59" fitToWidth="2" fitToHeight="2" orientation="portrait" r:id="rId1"/>
  <headerFooter alignWithMargins="0">
    <oddFooter>&amp;L&amp;"Times New Roman,Bold"&amp;9Rev. 5/26&amp;K000000 Arizona Department of Education and Auditor General&amp;C&amp;"Times New Roman,Regular"&amp;9&amp;D  &amp;T</oddFooter>
  </headerFooter>
  <rowBreaks count="1" manualBreakCount="1">
    <brk id="98" max="16"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AG239"/>
  <sheetViews>
    <sheetView showGridLines="0" topLeftCell="A34" zoomScaleNormal="100" zoomScaleSheetLayoutView="100" workbookViewId="0">
      <selection activeCell="V106" sqref="V106"/>
    </sheetView>
  </sheetViews>
  <sheetFormatPr defaultColWidth="9" defaultRowHeight="12"/>
  <cols>
    <col min="1" max="1" width="2.453125" style="96" bestFit="1" customWidth="1"/>
    <col min="2" max="2" width="2" style="96" customWidth="1"/>
    <col min="3" max="3" width="2.81640625" style="96" customWidth="1"/>
    <col min="4" max="4" width="2" style="96" customWidth="1"/>
    <col min="5" max="5" width="6.453125" style="96" customWidth="1"/>
    <col min="6" max="6" width="10.81640625" style="96" customWidth="1"/>
    <col min="7" max="7" width="9" style="96" customWidth="1"/>
    <col min="8" max="8" width="9.81640625" style="96" customWidth="1"/>
    <col min="9" max="9" width="9" style="96" customWidth="1"/>
    <col min="10" max="10" width="7" style="96" customWidth="1"/>
    <col min="11" max="11" width="1" style="96" customWidth="1"/>
    <col min="12" max="12" width="9" style="96" customWidth="1"/>
    <col min="13" max="14" width="1" style="96" customWidth="1"/>
    <col min="15" max="15" width="9.81640625" style="96" customWidth="1"/>
    <col min="16" max="17" width="1" style="96" customWidth="1"/>
    <col min="18" max="18" width="10" style="96" customWidth="1"/>
    <col min="19" max="19" width="9" style="96" customWidth="1"/>
    <col min="20" max="20" width="6" style="96" customWidth="1"/>
    <col min="21" max="22" width="9" style="96" customWidth="1"/>
    <col min="23" max="23" width="6" style="96" customWidth="1"/>
    <col min="24" max="24" width="10" style="96" customWidth="1"/>
    <col min="25" max="25" width="9.81640625" style="96" bestFit="1" customWidth="1"/>
    <col min="26" max="26" width="9" style="96" customWidth="1"/>
    <col min="27" max="27" width="6" style="96" customWidth="1"/>
    <col min="28" max="30" width="9" style="96" customWidth="1"/>
    <col min="31" max="31" width="6" style="96" customWidth="1"/>
    <col min="32" max="37" width="9" style="96" customWidth="1"/>
    <col min="38" max="16384" width="9" style="96"/>
  </cols>
  <sheetData>
    <row r="1" spans="1:17" ht="15.75" customHeight="1">
      <c r="A1" s="1852" t="s">
        <v>56</v>
      </c>
      <c r="B1" s="1852"/>
      <c r="C1" s="1852"/>
      <c r="D1" s="1852"/>
      <c r="E1" s="1853" t="str">
        <f>Cover!C1</f>
        <v>Pomerene Elementary School District</v>
      </c>
      <c r="F1" s="1853"/>
      <c r="G1" s="1853"/>
      <c r="H1" s="1313" t="s">
        <v>1</v>
      </c>
      <c r="I1" s="1853" t="str">
        <f>Cover!H1</f>
        <v>Cochise</v>
      </c>
      <c r="J1" s="1853"/>
      <c r="K1" s="1853"/>
      <c r="L1" s="1852" t="s">
        <v>57</v>
      </c>
      <c r="M1" s="1852"/>
      <c r="N1" s="1852"/>
      <c r="O1" s="1318" t="str">
        <f>CTD</f>
        <v>020364000</v>
      </c>
      <c r="P1" s="210"/>
      <c r="Q1" s="210"/>
    </row>
    <row r="2" spans="1:17">
      <c r="N2" s="1313" t="s">
        <v>16</v>
      </c>
      <c r="O2" s="1318" t="str">
        <f>Cover!C8</f>
        <v>Proposed</v>
      </c>
    </row>
    <row r="3" spans="1:17" ht="1.5" customHeight="1">
      <c r="N3" s="1313"/>
      <c r="O3" s="829"/>
    </row>
    <row r="4" spans="1:17" ht="15.75" customHeight="1">
      <c r="A4" s="1591" t="s">
        <v>691</v>
      </c>
      <c r="B4" s="1591"/>
      <c r="C4" s="1591"/>
      <c r="D4" s="1591"/>
      <c r="E4" s="1591"/>
      <c r="F4" s="1539" t="s">
        <v>482</v>
      </c>
      <c r="G4" s="1539"/>
      <c r="H4" s="1539"/>
      <c r="I4" s="1539"/>
      <c r="N4" s="1313"/>
      <c r="O4" s="829"/>
    </row>
    <row r="5" spans="1:17" ht="2.25" customHeight="1">
      <c r="N5" s="1313"/>
      <c r="O5" s="829"/>
    </row>
    <row r="6" spans="1:17" ht="8.25" hidden="1" customHeight="1">
      <c r="N6" s="1313"/>
      <c r="O6" s="829"/>
    </row>
    <row r="7" spans="1:17" ht="14.25" customHeight="1"/>
    <row r="8" spans="1:17" ht="15.6">
      <c r="A8" s="830" t="s">
        <v>1164</v>
      </c>
      <c r="B8" s="310"/>
      <c r="C8" s="310"/>
      <c r="D8" s="310"/>
      <c r="E8" s="310"/>
      <c r="F8" s="310"/>
      <c r="G8" s="310"/>
      <c r="I8" s="1147"/>
    </row>
    <row r="9" spans="1:17" ht="15.75" customHeight="1">
      <c r="A9" s="310"/>
      <c r="B9" s="310"/>
      <c r="C9" s="310"/>
      <c r="D9" s="310"/>
      <c r="E9" s="310"/>
      <c r="F9" s="310"/>
      <c r="G9" s="1148"/>
      <c r="H9" s="1884" t="s">
        <v>483</v>
      </c>
      <c r="I9" s="1885"/>
      <c r="J9" s="1884" t="s">
        <v>484</v>
      </c>
      <c r="K9" s="1890"/>
      <c r="L9" s="1885"/>
      <c r="M9" s="831"/>
    </row>
    <row r="10" spans="1:17" ht="15.6">
      <c r="B10" s="97"/>
      <c r="C10" s="310"/>
      <c r="E10" s="310"/>
      <c r="F10" s="310"/>
      <c r="G10" s="1148"/>
      <c r="H10" s="1886"/>
      <c r="I10" s="1887"/>
      <c r="J10" s="1886"/>
      <c r="K10" s="1891"/>
      <c r="L10" s="1887"/>
      <c r="M10" s="831"/>
    </row>
    <row r="11" spans="1:17" ht="15.75" customHeight="1">
      <c r="A11" s="334"/>
      <c r="B11" s="334"/>
      <c r="C11" s="334"/>
      <c r="D11" s="334"/>
      <c r="E11" s="334"/>
      <c r="F11" s="334"/>
      <c r="G11" s="832"/>
      <c r="H11" s="1317" t="s">
        <v>429</v>
      </c>
      <c r="I11" s="833" t="s">
        <v>430</v>
      </c>
      <c r="J11" s="1869" t="s">
        <v>429</v>
      </c>
      <c r="K11" s="1870"/>
      <c r="L11" s="833" t="s">
        <v>430</v>
      </c>
      <c r="M11" s="834"/>
    </row>
    <row r="12" spans="1:17">
      <c r="A12" s="835" t="s">
        <v>1165</v>
      </c>
      <c r="B12" s="324"/>
      <c r="C12" s="324"/>
      <c r="D12" s="324"/>
      <c r="E12" s="324"/>
      <c r="F12" s="324"/>
      <c r="G12" s="836"/>
      <c r="H12" s="837"/>
      <c r="I12" s="837"/>
      <c r="J12" s="1871"/>
      <c r="K12" s="1872"/>
      <c r="L12" s="837"/>
      <c r="M12" s="784"/>
    </row>
    <row r="13" spans="1:17" ht="12.6" thickBot="1">
      <c r="A13" s="838"/>
      <c r="B13" s="839" t="s">
        <v>1046</v>
      </c>
      <c r="C13" s="839"/>
      <c r="D13" s="839"/>
      <c r="E13" s="839"/>
      <c r="F13" s="839"/>
      <c r="G13" s="840"/>
      <c r="H13" s="841">
        <v>1.5589999999999999</v>
      </c>
      <c r="I13" s="841">
        <v>1.669</v>
      </c>
      <c r="J13" s="1873">
        <v>1.399</v>
      </c>
      <c r="K13" s="1874"/>
      <c r="L13" s="841">
        <v>1.5589999999999999</v>
      </c>
      <c r="M13" s="784"/>
    </row>
    <row r="14" spans="1:17">
      <c r="A14" s="784" t="s">
        <v>1047</v>
      </c>
      <c r="H14" s="1319"/>
      <c r="I14" s="842"/>
      <c r="J14" s="1875"/>
      <c r="K14" s="1876"/>
      <c r="L14" s="843"/>
    </row>
    <row r="15" spans="1:17">
      <c r="A15" s="784"/>
      <c r="B15" s="96" t="s">
        <v>528</v>
      </c>
      <c r="H15" s="1321">
        <v>500</v>
      </c>
      <c r="I15" s="844">
        <v>500</v>
      </c>
      <c r="J15" s="1877">
        <v>500</v>
      </c>
      <c r="K15" s="1878"/>
      <c r="L15" s="845">
        <v>500</v>
      </c>
      <c r="M15" s="846"/>
    </row>
    <row r="16" spans="1:17">
      <c r="A16" s="784"/>
      <c r="B16" s="96" t="s">
        <v>1048</v>
      </c>
      <c r="G16" s="1271" t="s">
        <v>486</v>
      </c>
      <c r="H16" s="847">
        <f>IF(AND(UnweightedStudCntK8CY&gt;=100,UnweightedStudCntK8CY&lt;500,SmallIsolatedPSD8Checkbox="X"),UnweightedStudCntK8CY,0)</f>
        <v>0</v>
      </c>
      <c r="I16" s="847">
        <f>IF(AND(UnweightedStudCnt912CY&gt;=100,UnweightedStudCnt912CY&lt;500,SmallIsolated912Checkbox="X"),UnweightedStudCnt912CY,0)</f>
        <v>0</v>
      </c>
      <c r="J16" s="1892">
        <f>IF(AND(UnweightedStudCntK8CY&gt;=100,UnweightedStudCntK8CY&lt;500,SmallIsolatedPSD8Checkbox&lt;&gt;"X"),UnweightedStudCntK8CY,0)</f>
        <v>105</v>
      </c>
      <c r="K16" s="1893"/>
      <c r="L16" s="848">
        <f>IF(AND(UnweightedStudCnt912CY&gt;=100,UnweightedStudCnt912CY&lt;500,SmallIsolated912Checkbox&lt;&gt;"X"),UnweightedStudCnt912CY,0)</f>
        <v>0</v>
      </c>
      <c r="M16" s="846"/>
    </row>
    <row r="17" spans="1:13">
      <c r="A17" s="784"/>
      <c r="B17" s="96" t="s">
        <v>487</v>
      </c>
      <c r="G17" s="1271" t="s">
        <v>488</v>
      </c>
      <c r="H17" s="847">
        <f>IF(H16&gt;0,H15-H16,0)</f>
        <v>0</v>
      </c>
      <c r="I17" s="847">
        <f>IF(I16&gt;0,I15-I16,0)</f>
        <v>0</v>
      </c>
      <c r="J17" s="1892">
        <f>IF(J16&gt;0,J15-J16,0)</f>
        <v>395</v>
      </c>
      <c r="K17" s="1893"/>
      <c r="L17" s="845">
        <f>IF(L16&gt;0,L15-L16,0)</f>
        <v>0</v>
      </c>
      <c r="M17" s="846"/>
    </row>
    <row r="18" spans="1:13">
      <c r="A18" s="784"/>
      <c r="B18" s="96" t="s">
        <v>531</v>
      </c>
      <c r="G18" s="1271" t="s">
        <v>489</v>
      </c>
      <c r="H18" s="847">
        <v>5.0000000000000001E-4</v>
      </c>
      <c r="I18" s="847">
        <v>5.0000000000000001E-4</v>
      </c>
      <c r="J18" s="1892">
        <v>2.9999999999999997E-4</v>
      </c>
      <c r="K18" s="1893"/>
      <c r="L18" s="844">
        <v>4.0000000000000002E-4</v>
      </c>
      <c r="M18" s="744"/>
    </row>
    <row r="19" spans="1:13">
      <c r="A19" s="784"/>
      <c r="B19" s="96" t="s">
        <v>533</v>
      </c>
      <c r="G19" s="1271" t="s">
        <v>488</v>
      </c>
      <c r="H19" s="847">
        <f>H17*H18</f>
        <v>0</v>
      </c>
      <c r="I19" s="847">
        <f>I17*I18</f>
        <v>0</v>
      </c>
      <c r="J19" s="1892">
        <f>J17*J18</f>
        <v>0.11849999999999999</v>
      </c>
      <c r="K19" s="1893"/>
      <c r="L19" s="848">
        <f>L17*L18</f>
        <v>0</v>
      </c>
      <c r="M19" s="846"/>
    </row>
    <row r="20" spans="1:13">
      <c r="A20" s="784"/>
      <c r="B20" s="96" t="s">
        <v>1046</v>
      </c>
      <c r="G20" s="1271" t="s">
        <v>490</v>
      </c>
      <c r="H20" s="849">
        <v>1.3580000000000001</v>
      </c>
      <c r="I20" s="849">
        <v>1.468</v>
      </c>
      <c r="J20" s="1881">
        <v>1.278</v>
      </c>
      <c r="K20" s="1882"/>
      <c r="L20" s="850">
        <v>1.3979999999999999</v>
      </c>
      <c r="M20" s="846"/>
    </row>
    <row r="21" spans="1:13" ht="12.6" thickBot="1">
      <c r="A21" s="784"/>
      <c r="C21" s="96" t="s">
        <v>1049</v>
      </c>
      <c r="G21" s="1271" t="s">
        <v>488</v>
      </c>
      <c r="H21" s="851">
        <f>IF(H16&gt;0,H19+H20,0)</f>
        <v>0</v>
      </c>
      <c r="I21" s="851">
        <f>IF(I16&gt;0,I19+I20,0)</f>
        <v>0</v>
      </c>
      <c r="J21" s="1897">
        <f>IF(J16&gt;0,J19+J20,0)</f>
        <v>1.3965000000000001</v>
      </c>
      <c r="K21" s="1898"/>
      <c r="L21" s="852">
        <f>IF(L16&gt;0,L19+L20,0)</f>
        <v>0</v>
      </c>
      <c r="M21" s="846"/>
    </row>
    <row r="22" spans="1:13">
      <c r="A22" s="784" t="s">
        <v>1050</v>
      </c>
      <c r="H22" s="1319"/>
      <c r="I22" s="842"/>
      <c r="J22" s="1875"/>
      <c r="K22" s="1876"/>
      <c r="L22" s="843"/>
    </row>
    <row r="23" spans="1:13">
      <c r="A23" s="784"/>
      <c r="B23" s="96" t="s">
        <v>528</v>
      </c>
      <c r="H23" s="1322">
        <v>600</v>
      </c>
      <c r="I23" s="853">
        <v>600</v>
      </c>
      <c r="J23" s="1888">
        <v>600</v>
      </c>
      <c r="K23" s="1889"/>
      <c r="L23" s="854">
        <v>600</v>
      </c>
      <c r="M23" s="846"/>
    </row>
    <row r="24" spans="1:13">
      <c r="A24" s="784"/>
      <c r="B24" s="96" t="s">
        <v>1051</v>
      </c>
      <c r="G24" s="1271" t="s">
        <v>486</v>
      </c>
      <c r="H24" s="761">
        <f>IF(AND(UnweightedStudCntK8CY&gt;=500,UnweightedStudCntK8CY&lt;600,SmallIsolatedPSD8Checkbox="X"),UnweightedStudCntK8CY,0)</f>
        <v>0</v>
      </c>
      <c r="I24" s="761">
        <f>IF(AND(UnweightedStudCnt912CY&gt;=500,UnweightedStudCnt912CY&lt;600,SmallIsolated912Checkbox="X"),UnweightedStudCnt912CY,0)</f>
        <v>0</v>
      </c>
      <c r="J24" s="1888">
        <f>IF(AND(UnweightedStudCntK8CY&gt;=500,UnweightedStudCntK8CY&lt;600,SmallIsolatedPSD8Checkbox&lt;&gt;"X"),UnweightedStudCntK8CY,0)</f>
        <v>0</v>
      </c>
      <c r="K24" s="1889"/>
      <c r="L24" s="762">
        <f>IF(AND(UnweightedStudCnt912CY&gt;=500,UnweightedStudCnt912CY&lt;600,SmallIsolated912Checkbox&lt;&gt;"X"),UnweightedStudCnt912CY,0)</f>
        <v>0</v>
      </c>
      <c r="M24" s="846"/>
    </row>
    <row r="25" spans="1:13">
      <c r="A25" s="784"/>
      <c r="B25" s="96" t="s">
        <v>487</v>
      </c>
      <c r="G25" s="1271" t="s">
        <v>488</v>
      </c>
      <c r="H25" s="761">
        <f>IF(H24&gt;0,H23-H24,0)</f>
        <v>0</v>
      </c>
      <c r="I25" s="761">
        <f>IF(I24&gt;0,I23-I24,0)</f>
        <v>0</v>
      </c>
      <c r="J25" s="1888">
        <f>IF(J24&gt;0,J23-J24,0)</f>
        <v>0</v>
      </c>
      <c r="K25" s="1889"/>
      <c r="L25" s="762">
        <f>IF(L24&gt;0,L23-L24,0)</f>
        <v>0</v>
      </c>
      <c r="M25" s="846"/>
    </row>
    <row r="26" spans="1:13">
      <c r="A26" s="784"/>
      <c r="B26" s="96" t="s">
        <v>531</v>
      </c>
      <c r="G26" s="1271" t="s">
        <v>489</v>
      </c>
      <c r="H26" s="761">
        <v>2E-3</v>
      </c>
      <c r="I26" s="761">
        <v>2E-3</v>
      </c>
      <c r="J26" s="1888">
        <v>1.1999999999999999E-3</v>
      </c>
      <c r="K26" s="1889"/>
      <c r="L26" s="762">
        <v>1.2999999999999999E-3</v>
      </c>
      <c r="M26" s="744"/>
    </row>
    <row r="27" spans="1:13">
      <c r="A27" s="784"/>
      <c r="B27" s="96" t="s">
        <v>533</v>
      </c>
      <c r="G27" s="1271" t="s">
        <v>488</v>
      </c>
      <c r="H27" s="761">
        <f>H25*H26</f>
        <v>0</v>
      </c>
      <c r="I27" s="761">
        <f>I25*I26</f>
        <v>0</v>
      </c>
      <c r="J27" s="1888">
        <f>J25*J26</f>
        <v>0</v>
      </c>
      <c r="K27" s="1889"/>
      <c r="L27" s="762">
        <f>L25*L26</f>
        <v>0</v>
      </c>
      <c r="M27" s="846"/>
    </row>
    <row r="28" spans="1:13">
      <c r="A28" s="784"/>
      <c r="B28" s="96" t="s">
        <v>1046</v>
      </c>
      <c r="G28" s="1271" t="s">
        <v>490</v>
      </c>
      <c r="H28" s="849">
        <v>1.1579999999999999</v>
      </c>
      <c r="I28" s="849">
        <v>1.268</v>
      </c>
      <c r="J28" s="1881">
        <v>1.1579999999999999</v>
      </c>
      <c r="K28" s="1882"/>
      <c r="L28" s="850">
        <v>1.268</v>
      </c>
      <c r="M28" s="846"/>
    </row>
    <row r="29" spans="1:13" ht="12.6" thickBot="1">
      <c r="A29" s="784"/>
      <c r="C29" s="96" t="s">
        <v>1049</v>
      </c>
      <c r="G29" s="1320" t="s">
        <v>488</v>
      </c>
      <c r="H29" s="851">
        <f>IF(H24&gt;0,H27+H28,0)</f>
        <v>0</v>
      </c>
      <c r="I29" s="851">
        <f>IF(I24&gt;0,I27+I28,0)</f>
        <v>0</v>
      </c>
      <c r="J29" s="1897">
        <f>IF(J24&gt;0,J27+J28,0)</f>
        <v>0</v>
      </c>
      <c r="K29" s="1898"/>
      <c r="L29" s="852">
        <f>IF(L24&gt;0,L27+L28,0)</f>
        <v>0</v>
      </c>
      <c r="M29" s="846"/>
    </row>
    <row r="30" spans="1:13">
      <c r="A30" s="784" t="s">
        <v>1052</v>
      </c>
      <c r="H30" s="855"/>
      <c r="I30" s="856"/>
      <c r="J30" s="1617"/>
      <c r="K30" s="1876"/>
      <c r="L30" s="843"/>
    </row>
    <row r="31" spans="1:13" ht="12.6" thickBot="1">
      <c r="A31" s="857"/>
      <c r="B31" s="858" t="s">
        <v>1046</v>
      </c>
      <c r="C31" s="858"/>
      <c r="D31" s="858"/>
      <c r="E31" s="858"/>
      <c r="F31" s="858"/>
      <c r="G31" s="858"/>
      <c r="H31" s="859"/>
      <c r="I31" s="860"/>
      <c r="J31" s="1879">
        <v>1.1579999999999999</v>
      </c>
      <c r="K31" s="1880"/>
      <c r="L31" s="861">
        <v>1.268</v>
      </c>
      <c r="M31" s="846"/>
    </row>
    <row r="32" spans="1:13">
      <c r="A32" s="784" t="s">
        <v>1166</v>
      </c>
      <c r="H32" s="862"/>
      <c r="I32" s="856"/>
      <c r="J32" s="1895"/>
      <c r="K32" s="1896"/>
      <c r="L32" s="843"/>
    </row>
    <row r="33" spans="1:22" ht="12.6" thickBot="1">
      <c r="A33" s="857"/>
      <c r="B33" s="858" t="s">
        <v>1167</v>
      </c>
      <c r="C33" s="858"/>
      <c r="D33" s="858"/>
      <c r="E33" s="858"/>
      <c r="F33" s="858"/>
      <c r="G33" s="858"/>
      <c r="H33" s="859"/>
      <c r="I33" s="860"/>
      <c r="J33" s="1899"/>
      <c r="K33" s="1900"/>
      <c r="L33" s="861">
        <v>1.339</v>
      </c>
      <c r="M33" s="846"/>
      <c r="T33" s="1561" t="s">
        <v>1168</v>
      </c>
      <c r="U33" s="1561"/>
      <c r="V33" s="1561"/>
    </row>
    <row r="34" spans="1:22">
      <c r="U34" s="756" t="s">
        <v>435</v>
      </c>
      <c r="V34" s="756" t="s">
        <v>491</v>
      </c>
    </row>
    <row r="35" spans="1:22">
      <c r="B35" s="207"/>
      <c r="C35" s="1"/>
      <c r="D35" s="1"/>
      <c r="E35" s="1"/>
      <c r="F35" s="1"/>
      <c r="G35" s="777"/>
      <c r="H35" s="777"/>
      <c r="I35" s="777"/>
      <c r="L35" s="863"/>
      <c r="O35" s="864"/>
      <c r="P35" s="864"/>
      <c r="Q35" s="864"/>
      <c r="R35" s="864"/>
      <c r="S35" s="864"/>
      <c r="T35" s="96" t="s">
        <v>492</v>
      </c>
      <c r="U35" s="762">
        <f>NonAOIStudCntK3*K3SLW</f>
        <v>3</v>
      </c>
      <c r="V35" s="762">
        <f>NonAOIStudCntK3R*K3RSLW</f>
        <v>2</v>
      </c>
    </row>
    <row r="36" spans="1:22" ht="12" customHeight="1">
      <c r="T36" s="96" t="s">
        <v>493</v>
      </c>
      <c r="U36" s="762">
        <f>AOIFTStudCntK3*K3SLW*AOIFTFundFactor</f>
        <v>0</v>
      </c>
      <c r="V36" s="762">
        <f>AOIFTStudCntK3R*K3RSLW*AOIFTFundFactor</f>
        <v>0</v>
      </c>
    </row>
    <row r="37" spans="1:22" ht="14.25" customHeight="1">
      <c r="A37" s="830" t="s">
        <v>494</v>
      </c>
      <c r="T37" s="96" t="s">
        <v>495</v>
      </c>
      <c r="U37" s="762">
        <f>AOIPTStudCntK3*K3SLW*AOIPTFundFactor</f>
        <v>0</v>
      </c>
      <c r="V37" s="762">
        <f>AOIPTStudCntK3R*K3RSLW*AOIPTFundFactor</f>
        <v>0</v>
      </c>
    </row>
    <row r="38" spans="1:22">
      <c r="B38" s="207" t="s">
        <v>6</v>
      </c>
      <c r="C38" s="96" t="s">
        <v>1053</v>
      </c>
      <c r="L38" s="96" t="s">
        <v>435</v>
      </c>
      <c r="N38" s="865" t="s">
        <v>273</v>
      </c>
      <c r="O38" s="866">
        <f>ROUND(U38*BSA55BLA*BSA55TEI,2)</f>
        <v>16504.02</v>
      </c>
      <c r="T38" s="96" t="s">
        <v>359</v>
      </c>
      <c r="U38" s="762">
        <f>U35+U36+U37</f>
        <v>3</v>
      </c>
      <c r="V38" s="762">
        <f>V35+V36+V37</f>
        <v>2</v>
      </c>
    </row>
    <row r="39" spans="1:22">
      <c r="B39" s="207"/>
      <c r="L39" s="96" t="s">
        <v>434</v>
      </c>
      <c r="N39" s="865" t="s">
        <v>273</v>
      </c>
      <c r="O39" s="866">
        <f>ROUND(V38*BSA55BLA*BSA55TEI,2)</f>
        <v>11002.68</v>
      </c>
      <c r="T39" s="1627" t="s">
        <v>496</v>
      </c>
      <c r="U39" s="1627"/>
      <c r="V39" s="1627"/>
    </row>
    <row r="40" spans="1:22">
      <c r="B40" s="207"/>
      <c r="Q40" s="1271"/>
      <c r="R40" s="805"/>
      <c r="T40" s="1627"/>
      <c r="U40" s="1627"/>
      <c r="V40" s="1627"/>
    </row>
    <row r="41" spans="1:22" ht="12" customHeight="1">
      <c r="B41" s="1461"/>
      <c r="C41" s="206"/>
      <c r="D41" s="206"/>
      <c r="E41" s="206"/>
      <c r="F41" s="206"/>
      <c r="G41" s="206"/>
      <c r="H41" s="206"/>
      <c r="I41" s="206"/>
      <c r="J41" s="206"/>
      <c r="K41" s="206"/>
      <c r="L41" s="206"/>
      <c r="M41" s="206"/>
      <c r="N41" s="1462"/>
      <c r="O41" s="1463"/>
    </row>
    <row r="42" spans="1:22">
      <c r="Q42" s="1271"/>
      <c r="R42" s="805"/>
    </row>
    <row r="43" spans="1:22" ht="2.25" customHeight="1">
      <c r="R43" s="867"/>
    </row>
    <row r="44" spans="1:22" ht="12" hidden="1" customHeight="1">
      <c r="A44" s="868"/>
      <c r="B44" s="868"/>
      <c r="C44" s="868"/>
      <c r="D44" s="868"/>
      <c r="E44" s="868"/>
      <c r="F44" s="868"/>
      <c r="G44" s="868"/>
      <c r="H44" s="868"/>
      <c r="I44" s="868"/>
      <c r="J44" s="868"/>
      <c r="K44" s="868"/>
      <c r="L44" s="868"/>
      <c r="M44" s="868"/>
      <c r="N44" s="868"/>
      <c r="O44" s="868"/>
      <c r="P44" s="868"/>
      <c r="Q44" s="868"/>
    </row>
    <row r="45" spans="1:22" ht="12" hidden="1" customHeight="1"/>
    <row r="46" spans="1:22" ht="12" hidden="1" customHeight="1"/>
    <row r="47" spans="1:22" ht="12" customHeight="1"/>
    <row r="48" spans="1:22" ht="15.6">
      <c r="A48" s="830" t="s">
        <v>895</v>
      </c>
      <c r="C48" s="310"/>
      <c r="D48" s="310"/>
    </row>
    <row r="49" spans="1:16" ht="18" customHeight="1">
      <c r="A49" s="310"/>
      <c r="B49" s="310"/>
      <c r="C49" s="310"/>
      <c r="D49" s="310"/>
      <c r="F49" s="116" t="s">
        <v>497</v>
      </c>
    </row>
    <row r="50" spans="1:16" ht="15.6">
      <c r="A50" s="310"/>
      <c r="B50" s="310"/>
      <c r="C50" s="310"/>
      <c r="D50" s="310"/>
      <c r="L50" s="748" t="s">
        <v>429</v>
      </c>
      <c r="O50" s="1318" t="s">
        <v>430</v>
      </c>
      <c r="P50" s="210"/>
    </row>
    <row r="51" spans="1:16">
      <c r="B51" s="785" t="s">
        <v>6</v>
      </c>
      <c r="C51" s="96" t="s">
        <v>1267</v>
      </c>
    </row>
    <row r="52" spans="1:16" ht="12.6" thickBot="1">
      <c r="B52" s="199"/>
      <c r="F52" s="96" t="s">
        <v>1054</v>
      </c>
      <c r="K52" s="869" t="s">
        <v>273</v>
      </c>
      <c r="L52" s="870">
        <v>663.81</v>
      </c>
      <c r="N52" s="869" t="s">
        <v>273</v>
      </c>
      <c r="O52" s="870">
        <v>732.87</v>
      </c>
    </row>
    <row r="53" spans="1:16" ht="6.75" customHeight="1" thickTop="1">
      <c r="B53" s="199"/>
    </row>
    <row r="54" spans="1:16">
      <c r="B54" s="785" t="s">
        <v>8</v>
      </c>
      <c r="C54" s="96" t="s">
        <v>1268</v>
      </c>
    </row>
    <row r="55" spans="1:16">
      <c r="B55" s="199"/>
      <c r="C55" s="1271" t="s">
        <v>376</v>
      </c>
      <c r="D55" s="96" t="s">
        <v>528</v>
      </c>
      <c r="K55" s="794"/>
      <c r="L55" s="871">
        <v>500</v>
      </c>
      <c r="N55" s="794"/>
      <c r="O55" s="871">
        <v>500</v>
      </c>
    </row>
    <row r="56" spans="1:16">
      <c r="B56" s="199"/>
      <c r="C56" s="1271" t="s">
        <v>377</v>
      </c>
      <c r="D56" s="96" t="s">
        <v>1051</v>
      </c>
      <c r="J56" s="1271" t="s">
        <v>486</v>
      </c>
      <c r="K56" s="872"/>
      <c r="L56" s="871">
        <f>IF(AND(100&lt;='Data Entry'!H29,'Data Entry'!H29&lt;500),'Data Entry'!H29,0)</f>
        <v>108.91030000000001</v>
      </c>
      <c r="M56" s="1271" t="s">
        <v>486</v>
      </c>
      <c r="N56" s="794"/>
      <c r="O56" s="871">
        <f>IF(AND(VALUE(LEFT(RIGHT(O1,7),2))=3,(UnweightedStudCnt912PY+HSCountDORtoDOA)&gt;=100,(UnweightedStudCnt912PY+HSCountDORtoDOA)&lt;500),(UnweightedStudCnt912PY+HSCountDORtoDOA),IF(AND(UnweightedStudCnt912PY&gt;=100,UnweightedStudCnt912PY&lt;500),UnweightedStudCnt912PY,0))</f>
        <v>0</v>
      </c>
    </row>
    <row r="57" spans="1:16">
      <c r="B57" s="199"/>
      <c r="C57" s="1271" t="s">
        <v>378</v>
      </c>
      <c r="D57" s="96" t="s">
        <v>487</v>
      </c>
      <c r="J57" s="1271" t="s">
        <v>488</v>
      </c>
      <c r="K57" s="872"/>
      <c r="L57" s="871">
        <f>IF(L56&gt;0,L55-L56,0)</f>
        <v>391.08969999999999</v>
      </c>
      <c r="M57" s="1271" t="s">
        <v>488</v>
      </c>
      <c r="N57" s="794"/>
      <c r="O57" s="871">
        <f>IF(O56&gt;0,O55-O56,0)</f>
        <v>0</v>
      </c>
    </row>
    <row r="58" spans="1:16">
      <c r="B58" s="199"/>
      <c r="C58" s="1271" t="s">
        <v>463</v>
      </c>
      <c r="D58" s="96" t="s">
        <v>531</v>
      </c>
      <c r="J58" s="1271" t="s">
        <v>489</v>
      </c>
      <c r="K58" s="872"/>
      <c r="L58" s="871">
        <v>2.9999999999999997E-4</v>
      </c>
      <c r="M58" s="1271" t="s">
        <v>489</v>
      </c>
      <c r="N58" s="794"/>
      <c r="O58" s="873">
        <v>4.0000000000000002E-4</v>
      </c>
    </row>
    <row r="59" spans="1:16">
      <c r="B59" s="199"/>
      <c r="C59" s="1271" t="s">
        <v>498</v>
      </c>
      <c r="D59" s="96" t="s">
        <v>533</v>
      </c>
      <c r="J59" s="1271" t="s">
        <v>488</v>
      </c>
      <c r="K59" s="872"/>
      <c r="L59" s="871">
        <f>IF(L56&gt;0,ROUND(+L57*L58,3),0)</f>
        <v>0.11700000000000001</v>
      </c>
      <c r="M59" s="1271" t="s">
        <v>488</v>
      </c>
      <c r="N59" s="794"/>
      <c r="O59" s="871">
        <f>IF(O56&gt;0,ROUND(+O57*O58,3),0)</f>
        <v>0</v>
      </c>
    </row>
    <row r="60" spans="1:16">
      <c r="B60" s="199"/>
      <c r="C60" s="1271" t="s">
        <v>499</v>
      </c>
      <c r="D60" s="96" t="s">
        <v>534</v>
      </c>
      <c r="J60" s="1271" t="s">
        <v>490</v>
      </c>
      <c r="K60" s="872"/>
      <c r="L60" s="871">
        <v>1.278</v>
      </c>
      <c r="M60" s="1271" t="s">
        <v>490</v>
      </c>
      <c r="N60" s="794"/>
      <c r="O60" s="873">
        <v>1.3979999999999999</v>
      </c>
    </row>
    <row r="61" spans="1:16">
      <c r="B61" s="199"/>
      <c r="C61" s="1271" t="s">
        <v>500</v>
      </c>
      <c r="D61" s="96" t="s">
        <v>1049</v>
      </c>
      <c r="J61" s="1271" t="s">
        <v>488</v>
      </c>
      <c r="K61" s="872"/>
      <c r="L61" s="871">
        <f>IF(L56&gt;0,+L59+L60,0)</f>
        <v>1.395</v>
      </c>
      <c r="M61" s="1271" t="s">
        <v>488</v>
      </c>
      <c r="N61" s="794"/>
      <c r="O61" s="871">
        <f>IF(O56&gt;0,+O59+O60,0)</f>
        <v>0</v>
      </c>
    </row>
    <row r="62" spans="1:16">
      <c r="B62" s="199"/>
      <c r="C62" s="1271" t="s">
        <v>501</v>
      </c>
      <c r="D62" s="96" t="s">
        <v>1055</v>
      </c>
      <c r="J62" s="1271" t="s">
        <v>489</v>
      </c>
      <c r="K62" s="865" t="s">
        <v>273</v>
      </c>
      <c r="L62" s="874">
        <v>474.47</v>
      </c>
      <c r="M62" s="1271" t="s">
        <v>489</v>
      </c>
      <c r="N62" s="865" t="s">
        <v>273</v>
      </c>
      <c r="O62" s="874">
        <v>494.39</v>
      </c>
    </row>
    <row r="63" spans="1:16" ht="12.6" thickBot="1">
      <c r="B63" s="199"/>
      <c r="C63" s="1271" t="s">
        <v>502</v>
      </c>
      <c r="D63" s="1271"/>
      <c r="F63" s="96" t="s">
        <v>1054</v>
      </c>
      <c r="J63" s="1271" t="s">
        <v>488</v>
      </c>
      <c r="K63" s="869" t="s">
        <v>273</v>
      </c>
      <c r="L63" s="870">
        <f>IF(L56&gt;0,ROUND(+L61*L62,2),0)</f>
        <v>661.89</v>
      </c>
      <c r="M63" s="1271" t="s">
        <v>488</v>
      </c>
      <c r="N63" s="869" t="s">
        <v>273</v>
      </c>
      <c r="O63" s="870">
        <f>IF(O56&gt;0,ROUND(+O61*O62,2),0)</f>
        <v>0</v>
      </c>
    </row>
    <row r="64" spans="1:16" ht="7.5" customHeight="1" thickTop="1">
      <c r="B64" s="199"/>
    </row>
    <row r="65" spans="2:15">
      <c r="B65" s="785" t="s">
        <v>22</v>
      </c>
      <c r="C65" s="96" t="s">
        <v>1269</v>
      </c>
    </row>
    <row r="66" spans="2:15">
      <c r="B66" s="199"/>
      <c r="C66" s="1271" t="s">
        <v>376</v>
      </c>
      <c r="D66" s="96" t="s">
        <v>528</v>
      </c>
      <c r="K66" s="794"/>
      <c r="L66" s="871">
        <v>600</v>
      </c>
      <c r="N66" s="794"/>
      <c r="O66" s="871">
        <v>600</v>
      </c>
    </row>
    <row r="67" spans="2:15">
      <c r="B67" s="199"/>
      <c r="C67" s="1271" t="s">
        <v>377</v>
      </c>
      <c r="D67" s="96" t="s">
        <v>1051</v>
      </c>
      <c r="J67" s="1271" t="s">
        <v>486</v>
      </c>
      <c r="K67" s="794"/>
      <c r="L67" s="873">
        <f>IF(AND(500&lt;='Data Entry'!H29,'Data Entry'!H29&lt;600),'Data Entry'!H29,0)</f>
        <v>0</v>
      </c>
      <c r="M67" s="1271" t="s">
        <v>486</v>
      </c>
      <c r="N67" s="794"/>
      <c r="O67" s="873">
        <f>IF(AND(VALUE(LEFT(RIGHT(O1,7),2))=3,('Data Entry'!I29+'Data Entry'!L139)&gt;=500,('Data Entry'!I29+'Data Entry'!L139)&lt;600),('Data Entry'!I29+'Data Entry'!L139),IF(AND('Data Entry'!I29&gt;=500,'Data Entry'!I29&lt;600),'Data Entry'!I29,0))</f>
        <v>0</v>
      </c>
    </row>
    <row r="68" spans="2:15">
      <c r="B68" s="199"/>
      <c r="C68" s="1271" t="s">
        <v>378</v>
      </c>
      <c r="D68" s="96" t="s">
        <v>487</v>
      </c>
      <c r="J68" s="1271" t="s">
        <v>488</v>
      </c>
      <c r="K68" s="794"/>
      <c r="L68" s="873">
        <f>IF(L67&gt;0,+L66-L67,0)</f>
        <v>0</v>
      </c>
      <c r="M68" s="1271" t="s">
        <v>488</v>
      </c>
      <c r="N68" s="794"/>
      <c r="O68" s="873">
        <f>IF(O67&gt;0,+O66-O67,0)</f>
        <v>0</v>
      </c>
    </row>
    <row r="69" spans="2:15">
      <c r="B69" s="199"/>
      <c r="C69" s="1271" t="s">
        <v>463</v>
      </c>
      <c r="D69" s="96" t="s">
        <v>531</v>
      </c>
      <c r="J69" s="1271" t="s">
        <v>489</v>
      </c>
      <c r="K69" s="794"/>
      <c r="L69" s="873">
        <v>1.1999999999999999E-3</v>
      </c>
      <c r="M69" s="1271" t="s">
        <v>489</v>
      </c>
      <c r="N69" s="794"/>
      <c r="O69" s="873">
        <v>1.2999999999999999E-3</v>
      </c>
    </row>
    <row r="70" spans="2:15">
      <c r="B70" s="199"/>
      <c r="C70" s="1271" t="s">
        <v>498</v>
      </c>
      <c r="D70" s="96" t="s">
        <v>533</v>
      </c>
      <c r="J70" s="1271" t="s">
        <v>488</v>
      </c>
      <c r="K70" s="794"/>
      <c r="L70" s="873">
        <f>IF(L67&gt;0,ROUND(+L68*L69,3),0)</f>
        <v>0</v>
      </c>
      <c r="M70" s="1271" t="s">
        <v>488</v>
      </c>
      <c r="N70" s="794"/>
      <c r="O70" s="873">
        <f>IF(O67&gt;0,ROUND(+O68*O69,3),0)</f>
        <v>0</v>
      </c>
    </row>
    <row r="71" spans="2:15">
      <c r="B71" s="199"/>
      <c r="C71" s="1271" t="s">
        <v>499</v>
      </c>
      <c r="D71" s="96" t="s">
        <v>534</v>
      </c>
      <c r="J71" s="1271" t="s">
        <v>490</v>
      </c>
      <c r="K71" s="794"/>
      <c r="L71" s="873">
        <v>1.1579999999999999</v>
      </c>
      <c r="M71" s="1271" t="s">
        <v>490</v>
      </c>
      <c r="N71" s="794"/>
      <c r="O71" s="873">
        <v>1.268</v>
      </c>
    </row>
    <row r="72" spans="2:15">
      <c r="B72" s="199"/>
      <c r="C72" s="1271" t="s">
        <v>500</v>
      </c>
      <c r="D72" s="96" t="s">
        <v>1049</v>
      </c>
      <c r="J72" s="1271" t="s">
        <v>488</v>
      </c>
      <c r="K72" s="794"/>
      <c r="L72" s="873">
        <f>IF(L67&gt;0,+L70+L71,0)</f>
        <v>0</v>
      </c>
      <c r="M72" s="1271" t="s">
        <v>488</v>
      </c>
      <c r="N72" s="794"/>
      <c r="O72" s="873">
        <f>IF(O67&gt;0,+O70+O71,0)</f>
        <v>0</v>
      </c>
    </row>
    <row r="73" spans="2:15">
      <c r="B73" s="199"/>
      <c r="C73" s="1271" t="s">
        <v>501</v>
      </c>
      <c r="D73" s="96" t="s">
        <v>1055</v>
      </c>
      <c r="J73" s="1271" t="s">
        <v>489</v>
      </c>
      <c r="K73" s="865" t="s">
        <v>273</v>
      </c>
      <c r="L73" s="874">
        <v>474.47</v>
      </c>
      <c r="M73" s="1271" t="s">
        <v>489</v>
      </c>
      <c r="N73" s="865" t="s">
        <v>273</v>
      </c>
      <c r="O73" s="874">
        <v>494.39</v>
      </c>
    </row>
    <row r="74" spans="2:15" ht="12.6" thickBot="1">
      <c r="B74" s="199"/>
      <c r="C74" s="1271" t="s">
        <v>502</v>
      </c>
      <c r="D74" s="1271"/>
      <c r="F74" s="96" t="s">
        <v>1054</v>
      </c>
      <c r="J74" s="1271" t="s">
        <v>488</v>
      </c>
      <c r="K74" s="869" t="s">
        <v>273</v>
      </c>
      <c r="L74" s="870">
        <f>IF(L67&gt;0,ROUND(+L72*L73,2),0)</f>
        <v>0</v>
      </c>
      <c r="M74" s="1271" t="s">
        <v>488</v>
      </c>
      <c r="N74" s="869" t="s">
        <v>273</v>
      </c>
      <c r="O74" s="870">
        <f>IF(O67&gt;0,ROUND(+O72*O73,2),0)</f>
        <v>0</v>
      </c>
    </row>
    <row r="75" spans="2:15" ht="7.5" customHeight="1" thickTop="1">
      <c r="B75" s="199"/>
    </row>
    <row r="76" spans="2:15">
      <c r="B76" s="785" t="s">
        <v>40</v>
      </c>
      <c r="C76" s="96" t="s">
        <v>1270</v>
      </c>
    </row>
    <row r="77" spans="2:15" ht="12.6" thickBot="1">
      <c r="F77" s="96" t="s">
        <v>1054</v>
      </c>
      <c r="K77" s="869" t="s">
        <v>273</v>
      </c>
      <c r="L77" s="870">
        <v>549.45000000000005</v>
      </c>
      <c r="N77" s="869" t="s">
        <v>273</v>
      </c>
      <c r="O77" s="870">
        <v>600.86</v>
      </c>
    </row>
    <row r="78" spans="2:15" ht="12.6" thickTop="1">
      <c r="K78" s="1271"/>
      <c r="L78" s="805"/>
      <c r="N78" s="1271"/>
      <c r="O78" s="805"/>
    </row>
    <row r="80" spans="2:15">
      <c r="B80" s="207"/>
      <c r="N80" s="1271"/>
      <c r="O80" s="805"/>
    </row>
    <row r="82" spans="1:19" ht="15.75" customHeight="1">
      <c r="A82" s="1901" t="s">
        <v>503</v>
      </c>
      <c r="B82" s="1901"/>
      <c r="C82" s="1901"/>
      <c r="D82" s="1901"/>
      <c r="E82" s="1901"/>
      <c r="F82" s="1901"/>
      <c r="G82" s="1901"/>
      <c r="H82" s="1901"/>
      <c r="I82" s="1901"/>
      <c r="J82" s="1901"/>
      <c r="K82" s="1901"/>
      <c r="L82" s="1901"/>
      <c r="M82" s="1901"/>
      <c r="N82" s="1901"/>
      <c r="O82" s="1901"/>
      <c r="P82" s="1901"/>
      <c r="Q82" s="1901"/>
      <c r="R82" s="1901"/>
      <c r="S82" s="1901"/>
    </row>
    <row r="83" spans="1:19">
      <c r="B83" s="207" t="s">
        <v>6</v>
      </c>
      <c r="C83" s="96" t="s">
        <v>1271</v>
      </c>
      <c r="Q83" s="865" t="s">
        <v>273</v>
      </c>
      <c r="R83" s="866">
        <f>[1]!GBLBudgFY</f>
        <v>1502946</v>
      </c>
    </row>
    <row r="84" spans="1:19">
      <c r="B84" s="1497" t="s">
        <v>8</v>
      </c>
      <c r="C84" s="96" t="s">
        <v>1272</v>
      </c>
      <c r="Q84" s="865" t="s">
        <v>273</v>
      </c>
      <c r="R84" s="866">
        <f>BUDG75Adj</f>
        <v>0</v>
      </c>
    </row>
    <row r="85" spans="1:19">
      <c r="B85" s="207" t="s">
        <v>22</v>
      </c>
      <c r="C85" s="96" t="s">
        <v>504</v>
      </c>
      <c r="Q85" s="865" t="s">
        <v>273</v>
      </c>
      <c r="R85" s="866">
        <f>R83+R84</f>
        <v>1502946</v>
      </c>
    </row>
    <row r="86" spans="1:19">
      <c r="B86" s="207" t="s">
        <v>40</v>
      </c>
      <c r="C86" s="96" t="s">
        <v>1395</v>
      </c>
      <c r="Q86" s="865" t="s">
        <v>273</v>
      </c>
      <c r="R86" s="866">
        <f>'[1]Page 1'!$L$44</f>
        <v>1502946</v>
      </c>
    </row>
    <row r="87" spans="1:19">
      <c r="B87" s="207" t="s">
        <v>98</v>
      </c>
      <c r="C87" s="96" t="s">
        <v>505</v>
      </c>
      <c r="Q87" s="865" t="s">
        <v>273</v>
      </c>
      <c r="R87" s="866">
        <f>R84</f>
        <v>0</v>
      </c>
    </row>
    <row r="88" spans="1:19">
      <c r="B88" s="207" t="s">
        <v>99</v>
      </c>
      <c r="C88" s="96" t="s">
        <v>506</v>
      </c>
      <c r="Q88" s="865" t="s">
        <v>273</v>
      </c>
      <c r="R88" s="866">
        <f>R86+R87</f>
        <v>1502946</v>
      </c>
    </row>
    <row r="89" spans="1:19">
      <c r="B89" s="207" t="s">
        <v>100</v>
      </c>
      <c r="C89" s="96" t="s">
        <v>507</v>
      </c>
      <c r="Q89" s="865" t="s">
        <v>273</v>
      </c>
      <c r="R89" s="866">
        <f>MIN(R85,R88)</f>
        <v>1502946</v>
      </c>
    </row>
    <row r="90" spans="1:19">
      <c r="B90" s="1498" t="s">
        <v>102</v>
      </c>
      <c r="C90" s="96" t="s">
        <v>1273</v>
      </c>
      <c r="Q90" s="865" t="s">
        <v>273</v>
      </c>
      <c r="R90" s="866">
        <f>PYTotMOActExpend</f>
        <v>1198448</v>
      </c>
    </row>
    <row r="91" spans="1:19" ht="23.25" customHeight="1">
      <c r="B91" s="812" t="s">
        <v>103</v>
      </c>
      <c r="C91" s="1627" t="s">
        <v>1056</v>
      </c>
      <c r="D91" s="1627"/>
      <c r="E91" s="1627"/>
      <c r="F91" s="1627"/>
      <c r="G91" s="1627"/>
      <c r="H91" s="1627"/>
      <c r="I91" s="1627"/>
      <c r="K91" s="865" t="s">
        <v>273</v>
      </c>
      <c r="L91" s="866" t="str">
        <f>IF((R89-R90&lt;0),R89-R90," ")</f>
        <v xml:space="preserve"> </v>
      </c>
      <c r="N91" s="1883" t="str">
        <f>IF(L91&lt;0,"OVEREXPENDED"," ")</f>
        <v xml:space="preserve"> </v>
      </c>
      <c r="O91" s="1883"/>
      <c r="Q91" s="865" t="s">
        <v>273</v>
      </c>
      <c r="R91" s="866">
        <f>IF(R89-R90&gt;0,R89-R90,0)</f>
        <v>304498</v>
      </c>
    </row>
    <row r="92" spans="1:19">
      <c r="C92" s="1308"/>
      <c r="D92" s="1308"/>
      <c r="E92" s="1308"/>
      <c r="F92" s="1308"/>
      <c r="G92" s="1308"/>
      <c r="H92" s="1308"/>
      <c r="I92" s="1308"/>
    </row>
    <row r="93" spans="1:19">
      <c r="B93" s="116" t="s">
        <v>1274</v>
      </c>
    </row>
    <row r="95" spans="1:19" ht="15.75" customHeight="1">
      <c r="B95" s="1498" t="s">
        <v>104</v>
      </c>
      <c r="C95" s="96" t="s">
        <v>1275</v>
      </c>
      <c r="K95" s="1561" t="s">
        <v>1386</v>
      </c>
      <c r="L95" s="1561"/>
      <c r="N95" s="1561" t="s">
        <v>508</v>
      </c>
      <c r="O95" s="1561"/>
      <c r="Q95" s="1561" t="s">
        <v>509</v>
      </c>
      <c r="R95" s="1561"/>
    </row>
    <row r="96" spans="1:19">
      <c r="C96" s="1271" t="s">
        <v>376</v>
      </c>
      <c r="D96" s="96" t="s">
        <v>510</v>
      </c>
      <c r="K96" s="865" t="s">
        <v>273</v>
      </c>
      <c r="L96" s="866">
        <f>[1]!SpecProgOverride</f>
        <v>0</v>
      </c>
      <c r="M96" s="4" t="s">
        <v>486</v>
      </c>
      <c r="N96" s="865" t="s">
        <v>273</v>
      </c>
      <c r="O96" s="866">
        <f>'Data Entry'!L103</f>
        <v>0</v>
      </c>
      <c r="P96" s="4" t="s">
        <v>488</v>
      </c>
      <c r="Q96" s="865" t="s">
        <v>273</v>
      </c>
      <c r="R96" s="866">
        <f t="shared" ref="R96:R100" si="0">IF(L96-O96&gt;0,L96-O96,0)</f>
        <v>0</v>
      </c>
    </row>
    <row r="97" spans="2:18">
      <c r="C97" s="1271" t="s">
        <v>377</v>
      </c>
      <c r="D97" s="96" t="s">
        <v>511</v>
      </c>
      <c r="K97" s="865" t="s">
        <v>273</v>
      </c>
      <c r="L97" s="866">
        <f>[1]!BudgIncrDesegExp</f>
        <v>0</v>
      </c>
      <c r="M97" s="4" t="s">
        <v>486</v>
      </c>
      <c r="N97" s="865" t="s">
        <v>273</v>
      </c>
      <c r="O97" s="866">
        <f>'Data Entry'!L104</f>
        <v>0</v>
      </c>
      <c r="P97" s="4" t="s">
        <v>488</v>
      </c>
      <c r="Q97" s="865" t="s">
        <v>273</v>
      </c>
      <c r="R97" s="866">
        <f t="shared" si="0"/>
        <v>0</v>
      </c>
    </row>
    <row r="98" spans="2:18">
      <c r="C98" s="191" t="s">
        <v>378</v>
      </c>
      <c r="D98" s="96" t="s">
        <v>462</v>
      </c>
      <c r="K98" s="865" t="s">
        <v>273</v>
      </c>
      <c r="L98" s="866">
        <f>[1]!BudgIncrDropPrevProg</f>
        <v>0</v>
      </c>
      <c r="M98" s="4" t="s">
        <v>486</v>
      </c>
      <c r="N98" s="865" t="s">
        <v>273</v>
      </c>
      <c r="O98" s="866">
        <f>'Data Entry'!L105</f>
        <v>0</v>
      </c>
      <c r="P98" s="4" t="s">
        <v>488</v>
      </c>
      <c r="Q98" s="865" t="s">
        <v>273</v>
      </c>
      <c r="R98" s="866">
        <f t="shared" si="0"/>
        <v>0</v>
      </c>
    </row>
    <row r="99" spans="2:18">
      <c r="C99" s="191" t="s">
        <v>463</v>
      </c>
      <c r="D99" s="96" t="s">
        <v>1169</v>
      </c>
      <c r="K99" s="865" t="s">
        <v>273</v>
      </c>
      <c r="L99" s="866">
        <f>[1]!BudgIncrJCTEVEC</f>
        <v>0</v>
      </c>
      <c r="M99" s="4" t="s">
        <v>486</v>
      </c>
      <c r="N99" s="865" t="s">
        <v>273</v>
      </c>
      <c r="O99" s="866">
        <f>'Data Entry'!L106</f>
        <v>0</v>
      </c>
      <c r="P99" s="4" t="s">
        <v>488</v>
      </c>
      <c r="Q99" s="865" t="s">
        <v>273</v>
      </c>
      <c r="R99" s="866">
        <f t="shared" si="0"/>
        <v>0</v>
      </c>
    </row>
    <row r="100" spans="2:18">
      <c r="C100" s="191" t="s">
        <v>498</v>
      </c>
      <c r="D100" s="96" t="s">
        <v>512</v>
      </c>
      <c r="K100" s="865" t="s">
        <v>273</v>
      </c>
      <c r="L100" s="866" cm="1">
        <f t="array" ref="L100">[1]!PerfPayCrryfwd</f>
        <v>0</v>
      </c>
      <c r="M100" s="4" t="s">
        <v>486</v>
      </c>
      <c r="N100" s="865" t="s">
        <v>273</v>
      </c>
      <c r="O100" s="866">
        <f>'Data Entry'!L107</f>
        <v>0</v>
      </c>
      <c r="P100" s="4" t="s">
        <v>488</v>
      </c>
      <c r="Q100" s="865" t="s">
        <v>273</v>
      </c>
      <c r="R100" s="866">
        <f t="shared" si="0"/>
        <v>0</v>
      </c>
    </row>
    <row r="101" spans="2:18">
      <c r="C101" s="191" t="s">
        <v>499</v>
      </c>
      <c r="D101" s="96" t="s">
        <v>513</v>
      </c>
      <c r="P101" s="4" t="s">
        <v>488</v>
      </c>
      <c r="Q101" s="865" t="s">
        <v>273</v>
      </c>
      <c r="R101" s="866">
        <f>R96+R97+R98+R99+R100</f>
        <v>0</v>
      </c>
    </row>
    <row r="102" spans="2:18">
      <c r="B102" s="207" t="s">
        <v>105</v>
      </c>
      <c r="C102" s="96" t="s">
        <v>1170</v>
      </c>
      <c r="Q102" s="865" t="s">
        <v>273</v>
      </c>
      <c r="R102" s="866">
        <f>IF(R91-R101&gt;0,R91-R101,0)</f>
        <v>304498</v>
      </c>
    </row>
    <row r="103" spans="2:18" ht="23.25" customHeight="1">
      <c r="B103" s="812" t="s">
        <v>106</v>
      </c>
      <c r="C103" s="1791" t="s">
        <v>1276</v>
      </c>
      <c r="D103" s="1791"/>
      <c r="E103" s="1791"/>
      <c r="F103" s="1791"/>
      <c r="G103" s="1791"/>
      <c r="H103" s="1791"/>
      <c r="I103" s="1791"/>
      <c r="J103" s="1791"/>
      <c r="P103" s="4" t="s">
        <v>486</v>
      </c>
      <c r="Q103" s="865" t="s">
        <v>273</v>
      </c>
      <c r="R103" s="866">
        <f>IF('Data Entry'!L108&gt;0,MIN('Data Entry'!L108,R102),0)</f>
        <v>0</v>
      </c>
    </row>
    <row r="104" spans="2:18">
      <c r="B104" s="207" t="s">
        <v>107</v>
      </c>
      <c r="C104" s="96" t="s">
        <v>1057</v>
      </c>
      <c r="P104" s="96" t="s">
        <v>488</v>
      </c>
      <c r="Q104" s="865" t="s">
        <v>273</v>
      </c>
      <c r="R104" s="866">
        <f>R102-R103</f>
        <v>304498</v>
      </c>
    </row>
    <row r="106" spans="2:18">
      <c r="B106" s="207" t="s">
        <v>108</v>
      </c>
      <c r="C106" s="96" t="s">
        <v>514</v>
      </c>
    </row>
    <row r="107" spans="2:18">
      <c r="C107" s="1501" t="s">
        <v>376</v>
      </c>
      <c r="D107" s="96" t="s">
        <v>1277</v>
      </c>
      <c r="Q107" s="865" t="s">
        <v>273</v>
      </c>
      <c r="R107" s="866">
        <f>IF(VALUE(LEFT(RIGHT(O1,7),2))=1,PYEndMOCash,0)</f>
        <v>0</v>
      </c>
    </row>
    <row r="108" spans="2:18">
      <c r="C108" s="1271" t="s">
        <v>377</v>
      </c>
      <c r="D108" s="96" t="s">
        <v>1058</v>
      </c>
      <c r="I108" s="1271"/>
      <c r="P108" s="1271" t="s">
        <v>486</v>
      </c>
      <c r="Q108" s="865" t="s">
        <v>273</v>
      </c>
      <c r="R108" s="866">
        <f>IF(AND(VALUE(LEFT(RIGHT(O1,7),2))=1,LessDSLorRCL912&gt;0),R104,0)</f>
        <v>0</v>
      </c>
    </row>
    <row r="109" spans="2:18">
      <c r="C109" s="1271" t="s">
        <v>378</v>
      </c>
      <c r="D109" s="96" t="s">
        <v>515</v>
      </c>
      <c r="P109" s="1271" t="s">
        <v>488</v>
      </c>
      <c r="Q109" s="865" t="s">
        <v>273</v>
      </c>
      <c r="R109" s="866">
        <f>R107-R108</f>
        <v>0</v>
      </c>
    </row>
    <row r="110" spans="2:18">
      <c r="B110" s="207" t="s">
        <v>109</v>
      </c>
      <c r="C110" s="96" t="s">
        <v>1171</v>
      </c>
    </row>
    <row r="111" spans="2:18">
      <c r="C111" s="1271" t="s">
        <v>376</v>
      </c>
      <c r="D111" s="96" t="s">
        <v>516</v>
      </c>
      <c r="N111" s="865" t="s">
        <v>273</v>
      </c>
      <c r="O111" s="866">
        <f>R109</f>
        <v>0</v>
      </c>
    </row>
    <row r="112" spans="2:18">
      <c r="C112" s="1501" t="s">
        <v>377</v>
      </c>
      <c r="D112" s="96" t="s">
        <v>1278</v>
      </c>
      <c r="N112" s="865" t="s">
        <v>273</v>
      </c>
      <c r="O112" s="866">
        <f>AccommRCL10</f>
        <v>0</v>
      </c>
    </row>
    <row r="113" spans="1:18">
      <c r="C113" s="1501" t="s">
        <v>378</v>
      </c>
      <c r="D113" s="96" t="s">
        <v>1279</v>
      </c>
      <c r="M113" s="96" t="s">
        <v>490</v>
      </c>
      <c r="N113" s="865" t="s">
        <v>273</v>
      </c>
      <c r="O113" s="866">
        <f>AccommRCL05</f>
        <v>0</v>
      </c>
    </row>
    <row r="114" spans="1:18">
      <c r="C114" s="1271" t="s">
        <v>463</v>
      </c>
      <c r="D114" s="96" t="s">
        <v>517</v>
      </c>
      <c r="M114" s="96" t="s">
        <v>488</v>
      </c>
      <c r="N114" s="865" t="s">
        <v>273</v>
      </c>
      <c r="O114" s="866">
        <f>O112+O113</f>
        <v>0</v>
      </c>
    </row>
    <row r="115" spans="1:18">
      <c r="C115" s="1271" t="s">
        <v>498</v>
      </c>
      <c r="D115" s="96" t="s">
        <v>518</v>
      </c>
      <c r="Q115" s="865" t="s">
        <v>273</v>
      </c>
      <c r="R115" s="866">
        <f>MIN(O111,O114)</f>
        <v>0</v>
      </c>
    </row>
    <row r="117" spans="1:18" s="1" customFormat="1" ht="17.25" customHeight="1">
      <c r="A117" s="1146" t="s">
        <v>519</v>
      </c>
      <c r="B117" s="1144"/>
      <c r="C117" s="1144"/>
      <c r="D117" s="1144"/>
      <c r="E117" s="1144"/>
      <c r="F117" s="1144"/>
      <c r="G117" s="1144"/>
      <c r="H117" s="1144"/>
      <c r="I117" s="1144"/>
      <c r="J117" s="1144"/>
      <c r="K117" s="1144"/>
      <c r="L117" s="1144"/>
    </row>
    <row r="118" spans="1:18">
      <c r="B118" s="1498" t="s">
        <v>6</v>
      </c>
      <c r="C118" s="96" t="s">
        <v>1280</v>
      </c>
      <c r="Q118" s="865" t="s">
        <v>273</v>
      </c>
      <c r="R118" s="866">
        <f>'Data Entry'!L111</f>
        <v>0</v>
      </c>
    </row>
    <row r="119" spans="1:18">
      <c r="B119" s="1498" t="s">
        <v>8</v>
      </c>
      <c r="C119" s="1791" t="s">
        <v>1281</v>
      </c>
      <c r="D119" s="1791"/>
      <c r="E119" s="1791"/>
      <c r="F119" s="1791"/>
      <c r="G119" s="1791"/>
      <c r="H119" s="1791"/>
      <c r="I119" s="1791"/>
      <c r="J119" s="1791"/>
      <c r="K119" s="1791"/>
      <c r="L119" s="1791"/>
    </row>
    <row r="120" spans="1:18">
      <c r="B120" s="207"/>
      <c r="C120" s="1791"/>
      <c r="D120" s="1791"/>
      <c r="E120" s="1791"/>
      <c r="F120" s="1791"/>
      <c r="G120" s="1791"/>
      <c r="H120" s="1791"/>
      <c r="I120" s="1791"/>
      <c r="J120" s="1791"/>
      <c r="K120" s="1791"/>
      <c r="L120" s="1791"/>
      <c r="P120" s="4" t="s">
        <v>486</v>
      </c>
      <c r="Q120" s="865" t="s">
        <v>273</v>
      </c>
      <c r="R120" s="866">
        <f>'Data Entry'!L112</f>
        <v>0</v>
      </c>
    </row>
    <row r="121" spans="1:18">
      <c r="B121" s="207" t="s">
        <v>22</v>
      </c>
      <c r="C121" s="96" t="s">
        <v>465</v>
      </c>
      <c r="N121" s="865" t="s">
        <v>273</v>
      </c>
      <c r="O121" s="866">
        <f>IF('Data Entry'!L111&gt;0,CYTRCL-TSL,0)</f>
        <v>0</v>
      </c>
      <c r="P121" s="4"/>
    </row>
    <row r="122" spans="1:18" ht="24" customHeight="1">
      <c r="B122" s="1498" t="s">
        <v>40</v>
      </c>
      <c r="C122" s="1627" t="s">
        <v>1282</v>
      </c>
      <c r="D122" s="1627"/>
      <c r="E122" s="1627"/>
      <c r="F122" s="1627"/>
      <c r="G122" s="1627"/>
      <c r="H122" s="1627"/>
      <c r="I122" s="1627"/>
      <c r="J122" s="1627"/>
      <c r="K122" s="1627"/>
      <c r="L122" s="1627"/>
      <c r="M122" s="1627"/>
      <c r="N122" s="1627"/>
      <c r="P122" s="4" t="s">
        <v>486</v>
      </c>
      <c r="Q122" s="865" t="s">
        <v>273</v>
      </c>
      <c r="R122" s="866">
        <f>'Data Entry'!L113</f>
        <v>0</v>
      </c>
    </row>
    <row r="123" spans="1:18">
      <c r="B123" s="1498" t="s">
        <v>98</v>
      </c>
      <c r="C123" s="96" t="s">
        <v>1283</v>
      </c>
      <c r="P123" s="4" t="s">
        <v>486</v>
      </c>
      <c r="Q123" s="865" t="s">
        <v>273</v>
      </c>
      <c r="R123" s="866">
        <f>'Data Entry'!L114</f>
        <v>0</v>
      </c>
    </row>
    <row r="124" spans="1:18">
      <c r="B124" s="1498" t="s">
        <v>99</v>
      </c>
      <c r="C124" s="96" t="s">
        <v>1284</v>
      </c>
      <c r="P124" s="4" t="s">
        <v>490</v>
      </c>
      <c r="Q124" s="865" t="s">
        <v>273</v>
      </c>
      <c r="R124" s="866">
        <f>'Data Entry'!L115</f>
        <v>0</v>
      </c>
    </row>
    <row r="125" spans="1:18" ht="11.25" customHeight="1">
      <c r="B125" s="812" t="s">
        <v>100</v>
      </c>
      <c r="C125" s="1627" t="s">
        <v>1285</v>
      </c>
      <c r="D125" s="1627"/>
      <c r="E125" s="1627"/>
      <c r="F125" s="1627"/>
      <c r="G125" s="1627"/>
      <c r="H125" s="1627"/>
      <c r="I125" s="1627"/>
      <c r="J125" s="1627"/>
      <c r="P125" s="4" t="s">
        <v>488</v>
      </c>
      <c r="Q125" s="865" t="s">
        <v>273</v>
      </c>
      <c r="R125" s="866">
        <f>R118-R120-R122-R123+R124</f>
        <v>0</v>
      </c>
    </row>
    <row r="129" spans="1:33" ht="13.8">
      <c r="A129" s="830" t="s">
        <v>520</v>
      </c>
    </row>
    <row r="131" spans="1:33" ht="34.5" customHeight="1">
      <c r="A131" s="1867" t="s">
        <v>521</v>
      </c>
      <c r="B131" s="1867"/>
      <c r="C131" s="1867"/>
      <c r="D131" s="1867"/>
      <c r="E131" s="1867"/>
      <c r="F131" s="1867"/>
      <c r="G131" s="1867"/>
      <c r="H131" s="1867"/>
      <c r="I131" s="1867"/>
      <c r="J131" s="1867"/>
      <c r="K131" s="1867"/>
      <c r="L131" s="1867"/>
      <c r="M131" s="1867"/>
      <c r="N131" s="1867"/>
      <c r="O131" s="1867"/>
      <c r="P131" s="1867"/>
      <c r="Q131" s="1867"/>
      <c r="R131" s="1867"/>
    </row>
    <row r="133" spans="1:33" ht="43.5" customHeight="1">
      <c r="A133" s="1627" t="s">
        <v>1286</v>
      </c>
      <c r="B133" s="1627"/>
      <c r="C133" s="1627"/>
      <c r="D133" s="1627"/>
      <c r="E133" s="1627"/>
      <c r="F133" s="1627"/>
      <c r="G133" s="1627"/>
      <c r="H133" s="1627"/>
      <c r="I133" s="1627"/>
      <c r="J133" s="1627"/>
      <c r="K133" s="1627"/>
      <c r="L133" s="1627"/>
      <c r="M133" s="1627"/>
      <c r="N133" s="1627"/>
      <c r="O133" s="1627"/>
      <c r="P133" s="1627"/>
      <c r="Q133" s="1627"/>
      <c r="R133" s="1627"/>
      <c r="S133" s="443"/>
      <c r="AF133" s="1209" t="s">
        <v>522</v>
      </c>
      <c r="AG133" s="1209" t="s">
        <v>899</v>
      </c>
    </row>
    <row r="135" spans="1:33">
      <c r="B135" s="207" t="s">
        <v>6</v>
      </c>
      <c r="C135" s="96" t="s">
        <v>523</v>
      </c>
      <c r="W135" s="116"/>
      <c r="Y135" s="210" t="s">
        <v>524</v>
      </c>
    </row>
    <row r="136" spans="1:33">
      <c r="C136" s="120" t="s">
        <v>376</v>
      </c>
      <c r="D136" s="875" t="s">
        <v>525</v>
      </c>
      <c r="Q136" s="865" t="s">
        <v>273</v>
      </c>
      <c r="R136" s="866">
        <v>150000</v>
      </c>
      <c r="T136" s="1866" t="s">
        <v>526</v>
      </c>
      <c r="U136" s="1866"/>
      <c r="Y136" s="748" t="s">
        <v>527</v>
      </c>
      <c r="Z136" s="210" t="s">
        <v>524</v>
      </c>
    </row>
    <row r="137" spans="1:33">
      <c r="C137" s="120" t="s">
        <v>377</v>
      </c>
      <c r="D137" s="1" t="s">
        <v>1287</v>
      </c>
      <c r="O137" s="762">
        <f>IF(AND(SSAPhaseDownCheckbox="X",SSAFYExceeded&lt;2000,UnweightedStudCntK8PY&gt;125,UnweightedStudCntK8PY&lt;154),UnweightedStudCntK8PY,0)</f>
        <v>0</v>
      </c>
      <c r="T137" s="96" t="s">
        <v>528</v>
      </c>
      <c r="Y137" s="762">
        <v>500</v>
      </c>
      <c r="Z137" s="762">
        <v>500</v>
      </c>
    </row>
    <row r="138" spans="1:33">
      <c r="C138" s="120" t="s">
        <v>378</v>
      </c>
      <c r="D138" s="875" t="s">
        <v>529</v>
      </c>
      <c r="N138" s="4" t="s">
        <v>486</v>
      </c>
      <c r="O138" s="762">
        <v>125</v>
      </c>
      <c r="T138" s="96" t="s">
        <v>1288</v>
      </c>
      <c r="X138" s="1271" t="s">
        <v>486</v>
      </c>
      <c r="Y138" s="762">
        <f>IF(AND(SSAPhaseDownCheckbox="X",SmallIsolatedPSD8Checkbox="X"),O137,0)</f>
        <v>0</v>
      </c>
      <c r="Z138" s="762">
        <f>IF(AND(SSAPhaseDownCheckbox="X",SmallIsolatedPSD8Checkbox&lt;&gt;"X"),O137,0)</f>
        <v>0</v>
      </c>
    </row>
    <row r="139" spans="1:33">
      <c r="C139" s="120" t="s">
        <v>463</v>
      </c>
      <c r="D139" s="875" t="s">
        <v>530</v>
      </c>
      <c r="N139" s="4" t="s">
        <v>488</v>
      </c>
      <c r="O139" s="762">
        <f>IF(O137&gt;0,O137-O138,0)</f>
        <v>0</v>
      </c>
      <c r="U139" s="96" t="s">
        <v>487</v>
      </c>
      <c r="X139" s="1271" t="s">
        <v>488</v>
      </c>
      <c r="Y139" s="762">
        <f>IF(Y138&gt;0,Y137-Y138,0)</f>
        <v>0</v>
      </c>
      <c r="Z139" s="762">
        <f>IF(Z138&gt;0,Z137-Z138,0)</f>
        <v>0</v>
      </c>
    </row>
    <row r="140" spans="1:33">
      <c r="C140" s="120" t="s">
        <v>498</v>
      </c>
      <c r="D140" s="875" t="s">
        <v>1059</v>
      </c>
      <c r="N140" s="4" t="s">
        <v>489</v>
      </c>
      <c r="O140" s="762">
        <f>IF(AND(O137&gt;0,SSAPhaseDownCheckbox="X",SmallIsolatedPSD8Checkbox="X"),Y143,IF(AND(O137&gt;0,SSAPhaseDownCheckbox="X",SmallIsolatedPSD8Checkbox&lt;&gt;"X"),Z143,0))</f>
        <v>0</v>
      </c>
      <c r="U140" s="96" t="s">
        <v>531</v>
      </c>
      <c r="X140" s="1271" t="s">
        <v>489</v>
      </c>
      <c r="Y140" s="762">
        <v>5.0000000000000001E-4</v>
      </c>
      <c r="Z140" s="762">
        <v>2.9999999999999997E-4</v>
      </c>
    </row>
    <row r="141" spans="1:33">
      <c r="C141" s="120" t="s">
        <v>499</v>
      </c>
      <c r="D141" s="875" t="s">
        <v>532</v>
      </c>
      <c r="N141" s="4" t="s">
        <v>488</v>
      </c>
      <c r="O141" s="762">
        <f>ROUND(O139*O140,3)</f>
        <v>0</v>
      </c>
      <c r="U141" s="96" t="s">
        <v>533</v>
      </c>
      <c r="X141" s="1271" t="s">
        <v>488</v>
      </c>
      <c r="Y141" s="762">
        <f>Y139*Y140</f>
        <v>0</v>
      </c>
      <c r="Z141" s="762">
        <f>Z139*Z140</f>
        <v>0</v>
      </c>
    </row>
    <row r="142" spans="1:33">
      <c r="C142" s="120" t="s">
        <v>500</v>
      </c>
      <c r="D142" s="875" t="s">
        <v>1060</v>
      </c>
      <c r="N142" s="4" t="s">
        <v>489</v>
      </c>
      <c r="O142" s="800">
        <f>IF(O137&gt;0,'Data Entry'!L65,0)</f>
        <v>0</v>
      </c>
      <c r="U142" s="96" t="s">
        <v>534</v>
      </c>
      <c r="X142" s="1271" t="s">
        <v>490</v>
      </c>
      <c r="Y142" s="825">
        <v>1.3580000000000001</v>
      </c>
      <c r="Z142" s="825">
        <v>1.278</v>
      </c>
    </row>
    <row r="143" spans="1:33">
      <c r="C143" s="120" t="s">
        <v>501</v>
      </c>
      <c r="D143" s="875" t="s">
        <v>535</v>
      </c>
      <c r="P143" s="4" t="s">
        <v>486</v>
      </c>
      <c r="Q143" s="865" t="s">
        <v>273</v>
      </c>
      <c r="R143" s="866">
        <f>ROUND(O141*O142,2)</f>
        <v>0</v>
      </c>
      <c r="T143" s="96" t="s">
        <v>1289</v>
      </c>
      <c r="X143" s="1271" t="s">
        <v>488</v>
      </c>
      <c r="Y143" s="762">
        <f>IF(Y138&gt;0,Y141+Y142,0)</f>
        <v>0</v>
      </c>
      <c r="Z143" s="762">
        <f>IF(Z138&gt;0,Z141+Z142,0)</f>
        <v>0</v>
      </c>
    </row>
    <row r="144" spans="1:33">
      <c r="C144" s="120" t="s">
        <v>502</v>
      </c>
      <c r="D144" s="875" t="s">
        <v>536</v>
      </c>
      <c r="Q144" s="865" t="s">
        <v>273</v>
      </c>
      <c r="R144" s="866">
        <f>IF(O137&gt;0,R136-R143,0)</f>
        <v>0</v>
      </c>
    </row>
    <row r="146" spans="1:26" ht="23.25" customHeight="1">
      <c r="A146" s="119"/>
      <c r="B146" s="812" t="s">
        <v>8</v>
      </c>
      <c r="C146" s="1791" t="s">
        <v>537</v>
      </c>
      <c r="D146" s="1791"/>
      <c r="E146" s="1791"/>
      <c r="F146" s="1791"/>
      <c r="G146" s="1791"/>
      <c r="H146" s="1791"/>
      <c r="I146" s="1791"/>
      <c r="J146" s="1791"/>
      <c r="K146" s="1791"/>
      <c r="L146" s="1791"/>
      <c r="M146" s="1791"/>
      <c r="N146" s="1791"/>
      <c r="O146" s="1791"/>
      <c r="P146" s="1791"/>
      <c r="Q146" s="1791"/>
      <c r="R146" s="1299"/>
      <c r="W146" s="116"/>
      <c r="Y146" s="210" t="s">
        <v>524</v>
      </c>
    </row>
    <row r="147" spans="1:26">
      <c r="C147" s="120" t="s">
        <v>376</v>
      </c>
      <c r="D147" s="875" t="s">
        <v>525</v>
      </c>
      <c r="Q147" s="865" t="s">
        <v>273</v>
      </c>
      <c r="R147" s="866">
        <v>350000</v>
      </c>
      <c r="T147" s="1866" t="s">
        <v>538</v>
      </c>
      <c r="U147" s="1866"/>
      <c r="Y147" s="748" t="s">
        <v>527</v>
      </c>
      <c r="Z147" s="210" t="s">
        <v>524</v>
      </c>
    </row>
    <row r="148" spans="1:26">
      <c r="C148" s="120" t="s">
        <v>377</v>
      </c>
      <c r="D148" s="1" t="s">
        <v>1290</v>
      </c>
      <c r="O148" s="762">
        <f>IF(AND(SSAPhaseDownCheckbox="X",SSAFYExceeded&lt;2000,UnweightedStudCnt912PY&gt;100,UnweightedStudCnt912PY&lt;176),UnweightedStudCnt912PY,0)</f>
        <v>0</v>
      </c>
      <c r="T148" s="96" t="s">
        <v>528</v>
      </c>
      <c r="Y148" s="762">
        <v>500</v>
      </c>
      <c r="Z148" s="762">
        <v>500</v>
      </c>
    </row>
    <row r="149" spans="1:26">
      <c r="C149" s="120" t="s">
        <v>378</v>
      </c>
      <c r="D149" s="875" t="s">
        <v>529</v>
      </c>
      <c r="N149" s="4" t="s">
        <v>486</v>
      </c>
      <c r="O149" s="762">
        <v>100</v>
      </c>
      <c r="T149" s="96" t="s">
        <v>1291</v>
      </c>
      <c r="X149" s="1271" t="s">
        <v>486</v>
      </c>
      <c r="Y149" s="762">
        <f>IF(AND(SSAPhaseDownCheckbox="X",SmallIsolated912Checkbox="X"),O148,0)</f>
        <v>0</v>
      </c>
      <c r="Z149" s="762">
        <f>IF(AND(SSAPhaseDownCheckbox="X",SmallIsolated912Checkbox&lt;&gt;"X"),O148,0)</f>
        <v>0</v>
      </c>
    </row>
    <row r="150" spans="1:26">
      <c r="C150" s="120" t="s">
        <v>463</v>
      </c>
      <c r="D150" s="875" t="s">
        <v>530</v>
      </c>
      <c r="N150" s="4" t="s">
        <v>488</v>
      </c>
      <c r="O150" s="762">
        <f>IF(O148&gt;0,O148-O149,0)</f>
        <v>0</v>
      </c>
      <c r="U150" s="96" t="s">
        <v>487</v>
      </c>
      <c r="X150" s="1271" t="s">
        <v>488</v>
      </c>
      <c r="Y150" s="762">
        <f>IF(Y149&gt;0,Y148-Y149,0)</f>
        <v>0</v>
      </c>
      <c r="Z150" s="762">
        <f>IF(Z149&gt;0,Z148-Z149,0)</f>
        <v>0</v>
      </c>
    </row>
    <row r="151" spans="1:26">
      <c r="C151" s="120" t="s">
        <v>498</v>
      </c>
      <c r="D151" s="875" t="s">
        <v>539</v>
      </c>
      <c r="N151" s="4" t="s">
        <v>489</v>
      </c>
      <c r="O151" s="762">
        <f>IF(AND(O148&gt;0,SSAPhaseDownCheckbox="X",SmallIsolatedPSD8Checkbox="X"),Y154,IF(AND(O148&gt;0,SSAPhaseDownCheckbox="X",SmallIsolatedPSD8Checkbox&lt;&gt;"X"),Z154,0))</f>
        <v>0</v>
      </c>
      <c r="U151" s="96" t="s">
        <v>531</v>
      </c>
      <c r="X151" s="1271" t="s">
        <v>489</v>
      </c>
      <c r="Y151" s="762">
        <v>5.0000000000000001E-4</v>
      </c>
      <c r="Z151" s="762">
        <v>4.0000000000000002E-4</v>
      </c>
    </row>
    <row r="152" spans="1:26">
      <c r="C152" s="120" t="s">
        <v>499</v>
      </c>
      <c r="D152" s="875" t="s">
        <v>532</v>
      </c>
      <c r="N152" s="4" t="s">
        <v>488</v>
      </c>
      <c r="O152" s="762">
        <f>ROUND(O150*O151,30)</f>
        <v>0</v>
      </c>
      <c r="U152" s="96" t="s">
        <v>533</v>
      </c>
      <c r="X152" s="1271" t="s">
        <v>488</v>
      </c>
      <c r="Y152" s="762">
        <f>Y150*Y151</f>
        <v>0</v>
      </c>
      <c r="Z152" s="762">
        <f>Z150*Z151</f>
        <v>0</v>
      </c>
    </row>
    <row r="153" spans="1:26">
      <c r="C153" s="120" t="s">
        <v>500</v>
      </c>
      <c r="D153" s="875" t="s">
        <v>1060</v>
      </c>
      <c r="N153" s="4" t="s">
        <v>489</v>
      </c>
      <c r="O153" s="800">
        <f>IF(O148&gt;0,'Data Entry'!L65,0)</f>
        <v>0</v>
      </c>
      <c r="U153" s="96" t="s">
        <v>534</v>
      </c>
      <c r="X153" s="1271" t="s">
        <v>490</v>
      </c>
      <c r="Y153" s="825">
        <v>1.468</v>
      </c>
      <c r="Z153" s="825">
        <v>1.3979999999999999</v>
      </c>
    </row>
    <row r="154" spans="1:26">
      <c r="C154" s="120" t="s">
        <v>501</v>
      </c>
      <c r="D154" s="875" t="s">
        <v>535</v>
      </c>
      <c r="P154" s="96" t="s">
        <v>486</v>
      </c>
      <c r="Q154" s="865" t="s">
        <v>273</v>
      </c>
      <c r="R154" s="866">
        <f>ROUND(O152*O153,2)</f>
        <v>0</v>
      </c>
      <c r="T154" s="96" t="s">
        <v>1292</v>
      </c>
      <c r="X154" s="1271" t="s">
        <v>488</v>
      </c>
      <c r="Y154" s="762">
        <f>IF(Y149&gt;0,Y152+Y153,0)</f>
        <v>0</v>
      </c>
      <c r="Z154" s="762">
        <f>IF(Z149&gt;0,Z152+Z153,0)</f>
        <v>0</v>
      </c>
    </row>
    <row r="155" spans="1:26">
      <c r="C155" s="120" t="s">
        <v>502</v>
      </c>
      <c r="D155" s="875" t="s">
        <v>540</v>
      </c>
      <c r="Q155" s="865" t="s">
        <v>273</v>
      </c>
      <c r="R155" s="866">
        <f>IF(O148&gt;0,R147-R154,0)</f>
        <v>0</v>
      </c>
    </row>
    <row r="157" spans="1:26" ht="23.25" customHeight="1">
      <c r="A157" s="119"/>
      <c r="B157" s="1502" t="s">
        <v>22</v>
      </c>
      <c r="C157" s="1791" t="s">
        <v>541</v>
      </c>
      <c r="D157" s="1791"/>
      <c r="E157" s="1791"/>
      <c r="F157" s="1791"/>
      <c r="G157" s="1791"/>
      <c r="H157" s="1791"/>
      <c r="I157" s="1791"/>
      <c r="J157" s="1791"/>
      <c r="K157" s="1791"/>
      <c r="L157" s="1791"/>
      <c r="M157" s="1791"/>
      <c r="N157" s="1791"/>
      <c r="O157" s="1791"/>
      <c r="P157" s="1299"/>
      <c r="Q157" s="865" t="s">
        <v>273</v>
      </c>
      <c r="R157" s="866">
        <f>SSAPDRCL10</f>
        <v>0</v>
      </c>
    </row>
    <row r="158" spans="1:26">
      <c r="B158" s="207" t="s">
        <v>40</v>
      </c>
      <c r="C158" s="96" t="s">
        <v>542</v>
      </c>
      <c r="Q158" s="865" t="s">
        <v>273</v>
      </c>
      <c r="R158" s="866">
        <f>R144+R155+R157</f>
        <v>0</v>
      </c>
    </row>
    <row r="159" spans="1:26">
      <c r="B159" s="207" t="s">
        <v>98</v>
      </c>
      <c r="C159" s="96" t="s">
        <v>543</v>
      </c>
      <c r="Q159" s="865" t="s">
        <v>273</v>
      </c>
      <c r="R159" s="866">
        <f>IF(R158&gt;0,RCL*0.1,0)</f>
        <v>0</v>
      </c>
    </row>
    <row r="160" spans="1:26">
      <c r="B160" s="207" t="s">
        <v>99</v>
      </c>
      <c r="C160" s="96" t="s">
        <v>544</v>
      </c>
      <c r="Q160" s="865" t="s">
        <v>273</v>
      </c>
      <c r="R160" s="866">
        <f>MAX(R158,R159)</f>
        <v>0</v>
      </c>
    </row>
    <row r="163" spans="1:32" ht="30" customHeight="1">
      <c r="A163" s="1868" t="s">
        <v>545</v>
      </c>
      <c r="B163" s="1868"/>
      <c r="C163" s="1868"/>
      <c r="D163" s="1868"/>
      <c r="E163" s="1868"/>
      <c r="F163" s="1868"/>
      <c r="G163" s="1868"/>
      <c r="H163" s="1868"/>
      <c r="I163" s="1868"/>
      <c r="J163" s="1868"/>
      <c r="K163" s="1868"/>
      <c r="L163" s="1868"/>
      <c r="M163" s="1868"/>
      <c r="N163" s="1868"/>
      <c r="O163" s="1868"/>
      <c r="P163" s="1868"/>
      <c r="Q163" s="1868"/>
      <c r="R163" s="1868"/>
    </row>
    <row r="165" spans="1:32" ht="34.5" customHeight="1">
      <c r="A165" s="1867" t="s">
        <v>546</v>
      </c>
      <c r="B165" s="1867"/>
      <c r="C165" s="1867"/>
      <c r="D165" s="1867"/>
      <c r="E165" s="1867"/>
      <c r="F165" s="1867"/>
      <c r="G165" s="1867"/>
      <c r="H165" s="1867"/>
      <c r="I165" s="1867"/>
      <c r="J165" s="1867"/>
      <c r="K165" s="1867"/>
      <c r="L165" s="1867"/>
      <c r="M165" s="1867"/>
      <c r="N165" s="1867"/>
      <c r="O165" s="1867"/>
      <c r="P165" s="1867"/>
      <c r="Q165" s="1867"/>
      <c r="R165" s="1867"/>
    </row>
    <row r="167" spans="1:32" ht="34.5" customHeight="1">
      <c r="A167" s="1627" t="s">
        <v>1293</v>
      </c>
      <c r="B167" s="1627"/>
      <c r="C167" s="1627"/>
      <c r="D167" s="1627"/>
      <c r="E167" s="1627"/>
      <c r="F167" s="1627"/>
      <c r="G167" s="1627"/>
      <c r="H167" s="1627"/>
      <c r="I167" s="1627"/>
      <c r="J167" s="1627"/>
      <c r="K167" s="1627"/>
      <c r="L167" s="1627"/>
      <c r="M167" s="1627"/>
      <c r="N167" s="1627"/>
      <c r="O167" s="1627"/>
      <c r="P167" s="1627"/>
      <c r="Q167" s="1627"/>
      <c r="R167" s="1627"/>
      <c r="S167" s="443"/>
      <c r="AF167" s="1209" t="s">
        <v>900</v>
      </c>
    </row>
    <row r="169" spans="1:32">
      <c r="B169" s="207" t="s">
        <v>6</v>
      </c>
      <c r="C169" s="96" t="s">
        <v>547</v>
      </c>
    </row>
    <row r="170" spans="1:32">
      <c r="C170" s="191" t="s">
        <v>376</v>
      </c>
      <c r="D170" s="96" t="s">
        <v>1287</v>
      </c>
      <c r="O170" s="762">
        <f>IF(AND(SSAPhaseDownCheckbox="X",SSAFYExceeded&gt;=2000,UnweightedStudCntK8PY&gt;125,UnweightedStudCntK8PY&lt;181),UnweightedStudCntK8PY,0)</f>
        <v>0</v>
      </c>
    </row>
    <row r="171" spans="1:32">
      <c r="C171" s="1271" t="s">
        <v>377</v>
      </c>
      <c r="D171" s="96" t="s">
        <v>529</v>
      </c>
      <c r="N171" s="4" t="s">
        <v>486</v>
      </c>
      <c r="O171" s="762">
        <v>125</v>
      </c>
    </row>
    <row r="172" spans="1:32">
      <c r="C172" s="1271" t="s">
        <v>378</v>
      </c>
      <c r="D172" s="96" t="s">
        <v>530</v>
      </c>
      <c r="N172" s="4" t="s">
        <v>488</v>
      </c>
      <c r="O172" s="762">
        <f>IF(O170&gt;0,O170-O171,0)</f>
        <v>0</v>
      </c>
    </row>
    <row r="173" spans="1:32">
      <c r="C173" s="1271" t="s">
        <v>463</v>
      </c>
      <c r="D173" s="96" t="s">
        <v>548</v>
      </c>
      <c r="N173" s="4" t="s">
        <v>489</v>
      </c>
      <c r="O173" s="762">
        <v>4.4999999999999997E-3</v>
      </c>
    </row>
    <row r="174" spans="1:32">
      <c r="C174" s="1271" t="s">
        <v>498</v>
      </c>
      <c r="D174" s="96" t="s">
        <v>549</v>
      </c>
      <c r="N174" s="4" t="s">
        <v>488</v>
      </c>
      <c r="O174" s="762">
        <f>ROUND(O172*O173,3)</f>
        <v>0</v>
      </c>
    </row>
    <row r="175" spans="1:32">
      <c r="C175" s="1271" t="s">
        <v>499</v>
      </c>
      <c r="D175" s="96" t="s">
        <v>550</v>
      </c>
      <c r="N175" s="4"/>
      <c r="O175" s="762">
        <f>IF(O170&gt;0,0.35-O174,0)</f>
        <v>0</v>
      </c>
    </row>
    <row r="176" spans="1:32">
      <c r="C176" s="1271" t="s">
        <v>500</v>
      </c>
      <c r="D176" s="1201" t="s">
        <v>551</v>
      </c>
      <c r="E176" s="1202"/>
      <c r="F176" s="1202"/>
      <c r="N176" s="4" t="s">
        <v>489</v>
      </c>
      <c r="O176" s="800">
        <f>IF(O170&gt;0,DSLRCLPSD8,0)</f>
        <v>0</v>
      </c>
    </row>
    <row r="177" spans="2:25">
      <c r="C177" s="1271" t="s">
        <v>501</v>
      </c>
      <c r="D177" s="96" t="s">
        <v>1172</v>
      </c>
      <c r="Q177" s="865" t="s">
        <v>273</v>
      </c>
      <c r="R177" s="866">
        <f>IF(O175*O176&gt;0,ROUND(O175*O176,2),0)</f>
        <v>0</v>
      </c>
    </row>
    <row r="179" spans="2:25">
      <c r="B179" s="207" t="s">
        <v>8</v>
      </c>
      <c r="C179" s="96" t="s">
        <v>552</v>
      </c>
    </row>
    <row r="180" spans="2:25">
      <c r="C180" s="191" t="s">
        <v>376</v>
      </c>
      <c r="D180" s="96" t="s">
        <v>1290</v>
      </c>
      <c r="O180" s="762">
        <f>IF(AND(SSAPhaseDownCheckbox="X",SSAFYExceeded&gt;=2000,UnweightedStudCnt912PY&gt;100,UnweightedStudCnt912PY&lt;185),UnweightedStudCnt912PY,0)</f>
        <v>0</v>
      </c>
    </row>
    <row r="181" spans="2:25">
      <c r="C181" s="1271" t="s">
        <v>377</v>
      </c>
      <c r="D181" s="96" t="s">
        <v>529</v>
      </c>
      <c r="N181" s="4" t="s">
        <v>486</v>
      </c>
      <c r="O181" s="762">
        <v>100</v>
      </c>
    </row>
    <row r="182" spans="2:25">
      <c r="C182" s="1271" t="s">
        <v>378</v>
      </c>
      <c r="D182" s="96" t="s">
        <v>530</v>
      </c>
      <c r="N182" s="4" t="s">
        <v>488</v>
      </c>
      <c r="O182" s="762">
        <f>IF(O180&gt;0,O180-O181,0)</f>
        <v>0</v>
      </c>
    </row>
    <row r="183" spans="2:25">
      <c r="C183" s="1271" t="s">
        <v>463</v>
      </c>
      <c r="D183" s="96" t="s">
        <v>548</v>
      </c>
      <c r="N183" s="4" t="s">
        <v>489</v>
      </c>
      <c r="O183" s="762">
        <v>6.4999999999999997E-3</v>
      </c>
    </row>
    <row r="184" spans="2:25">
      <c r="C184" s="1271" t="s">
        <v>498</v>
      </c>
      <c r="D184" s="96" t="s">
        <v>549</v>
      </c>
      <c r="N184" s="4" t="s">
        <v>488</v>
      </c>
      <c r="O184" s="762">
        <f>ROUND(O182*O183,3)</f>
        <v>0</v>
      </c>
    </row>
    <row r="185" spans="2:25">
      <c r="C185" s="1271" t="s">
        <v>499</v>
      </c>
      <c r="D185" s="96" t="s">
        <v>1173</v>
      </c>
      <c r="N185" s="4"/>
      <c r="O185" s="762">
        <f>IF(O180&gt;0,0.65-O184,0)</f>
        <v>0</v>
      </c>
    </row>
    <row r="186" spans="2:25">
      <c r="C186" s="1271" t="s">
        <v>500</v>
      </c>
      <c r="D186" s="876" t="s">
        <v>553</v>
      </c>
      <c r="E186" s="876"/>
      <c r="F186" s="876"/>
      <c r="N186" s="4" t="s">
        <v>489</v>
      </c>
      <c r="O186" s="800">
        <f>IF(O180&gt;0,DSLRCL912,0)</f>
        <v>0</v>
      </c>
    </row>
    <row r="187" spans="2:25">
      <c r="C187" s="1271" t="s">
        <v>501</v>
      </c>
      <c r="D187" s="96" t="s">
        <v>1174</v>
      </c>
      <c r="Q187" s="865" t="s">
        <v>273</v>
      </c>
      <c r="R187" s="866">
        <f>IF(O185*O186&gt;0,ROUND(O185*O186,2),0)</f>
        <v>0</v>
      </c>
    </row>
    <row r="188" spans="2:25">
      <c r="U188" s="1842" t="s">
        <v>1175</v>
      </c>
      <c r="V188" s="1842"/>
      <c r="W188" s="1842"/>
      <c r="X188" s="1842"/>
      <c r="Y188" s="204"/>
    </row>
    <row r="189" spans="2:25" ht="23.25" customHeight="1">
      <c r="B189" s="1502" t="s">
        <v>22</v>
      </c>
      <c r="C189" s="1791" t="s">
        <v>541</v>
      </c>
      <c r="D189" s="1791"/>
      <c r="E189" s="1791"/>
      <c r="F189" s="1791"/>
      <c r="G189" s="1791"/>
      <c r="H189" s="1791"/>
      <c r="I189" s="1791"/>
      <c r="J189" s="1791"/>
      <c r="K189" s="1791"/>
      <c r="L189" s="1791"/>
      <c r="M189" s="1791"/>
      <c r="N189" s="1791"/>
      <c r="O189" s="1791"/>
      <c r="Q189" s="865" t="s">
        <v>273</v>
      </c>
      <c r="R189" s="866">
        <f>SSAPDRCL10</f>
        <v>0</v>
      </c>
      <c r="U189" s="1864" t="s">
        <v>554</v>
      </c>
      <c r="V189" s="1554"/>
      <c r="W189" s="1554"/>
      <c r="X189" s="1865"/>
      <c r="Y189" s="94">
        <f>IF(AND(SSAPhaseDownCheckbox="X",SSAFYExceeded&gt;=2000,UnweightedStudCnt912PY&gt;100,UnweightedStudCnt912PY&lt;185),('BSA55'!G144*RCL),0)</f>
        <v>0</v>
      </c>
    </row>
    <row r="190" spans="2:25">
      <c r="B190" s="207" t="s">
        <v>40</v>
      </c>
      <c r="C190" s="295" t="s">
        <v>1176</v>
      </c>
      <c r="D190" s="295"/>
      <c r="E190" s="295"/>
      <c r="F190" s="295"/>
      <c r="G190" s="295"/>
      <c r="H190" s="295"/>
      <c r="I190" s="295"/>
      <c r="J190" s="500"/>
      <c r="Q190" s="865" t="s">
        <v>273</v>
      </c>
      <c r="R190" s="866">
        <f>R177+R187+R189</f>
        <v>0</v>
      </c>
      <c r="U190" s="1864" t="s">
        <v>555</v>
      </c>
      <c r="V190" s="1554"/>
      <c r="W190" s="1554"/>
      <c r="X190" s="1865"/>
      <c r="Y190" s="877">
        <f>ROUND(IF(AND(SSAPhaseDownCheckbox="X",SSAFYExceeded&gt;=2000,UnweightedStudCnt912PY&gt;100,UnweightedStudCnt912PY&lt;185),((('BSA55'!C7*'BSA55'!F7)+('BSA55'!D7*'BSA55'!F7)+('BSA55'!E7*'BSA55'!F7))/((('BSA55'!C7*'BSA55'!F7)+('BSA55'!D7*'BSA55'!F7)+('BSA55'!E7*'BSA55'!F7)+('BSA55'!C8*'BSA55'!F8)+('BSA55'!D8*'BSA55'!F8)+('BSA55'!E8*'BSA55'!F8))+(('BSA55'!C9*'BSA55'!F9)+('BSA55'!D9*'BSA55'!F9)+('BSA55'!E9*'BSA55'!F9)))),0),10)</f>
        <v>0</v>
      </c>
    </row>
    <row r="191" spans="2:25" ht="12.75" customHeight="1">
      <c r="B191" s="207" t="s">
        <v>98</v>
      </c>
      <c r="C191" s="96" t="s">
        <v>543</v>
      </c>
      <c r="Q191" s="865" t="s">
        <v>273</v>
      </c>
      <c r="R191" s="866">
        <f>IF(R190&gt;0,DSLRCLTotal*0.1,0)</f>
        <v>0</v>
      </c>
      <c r="U191" s="1864" t="s">
        <v>556</v>
      </c>
      <c r="V191" s="1554"/>
      <c r="W191" s="1554"/>
      <c r="X191" s="1865"/>
      <c r="Y191" s="94">
        <f>IF(AND(SSAPhaseDownCheckbox="X",SSAFYExceeded&gt;=2000,UnweightedStudCnt912PY&gt;100,UnweightedStudCnt912PY&lt;185),RCL,0)</f>
        <v>0</v>
      </c>
    </row>
    <row r="192" spans="2:25" ht="12.75" customHeight="1">
      <c r="B192" s="207" t="s">
        <v>99</v>
      </c>
      <c r="C192" s="295" t="s">
        <v>1177</v>
      </c>
      <c r="Q192" s="865" t="s">
        <v>273</v>
      </c>
      <c r="R192" s="866">
        <f>MAX(R190,R191)</f>
        <v>0</v>
      </c>
      <c r="U192" s="1864" t="s">
        <v>557</v>
      </c>
      <c r="V192" s="1554"/>
      <c r="W192" s="1554"/>
      <c r="X192" s="1865"/>
      <c r="Y192" s="94">
        <f>Y190*Y191</f>
        <v>0</v>
      </c>
    </row>
    <row r="193" spans="1:25">
      <c r="U193" s="1864" t="s">
        <v>558</v>
      </c>
      <c r="V193" s="1554"/>
      <c r="W193" s="1554"/>
      <c r="X193" s="1865"/>
      <c r="Y193" s="878">
        <f>Y189-Y192</f>
        <v>0</v>
      </c>
    </row>
    <row r="194" spans="1:25">
      <c r="U194" s="1864" t="s">
        <v>559</v>
      </c>
      <c r="V194" s="1554"/>
      <c r="W194" s="1554"/>
      <c r="X194" s="1865"/>
      <c r="Y194" s="878">
        <f>Y193*0.1</f>
        <v>0</v>
      </c>
    </row>
    <row r="197" spans="1:25" ht="31.5" customHeight="1">
      <c r="A197" s="1894" t="s">
        <v>560</v>
      </c>
      <c r="B197" s="1894"/>
      <c r="C197" s="1894"/>
      <c r="D197" s="1894"/>
      <c r="E197" s="1894"/>
      <c r="F197" s="1894"/>
      <c r="G197" s="1894"/>
      <c r="H197" s="1894"/>
      <c r="I197" s="1894"/>
      <c r="J197" s="1894"/>
      <c r="K197" s="1894"/>
      <c r="L197" s="1894"/>
      <c r="M197" s="1894"/>
      <c r="N197" s="1894"/>
      <c r="O197" s="1894"/>
      <c r="P197" s="1894"/>
      <c r="Q197" s="1894"/>
      <c r="R197" s="1894"/>
      <c r="S197" s="1894"/>
    </row>
    <row r="199" spans="1:25" ht="24.75" customHeight="1">
      <c r="B199" s="1867" t="s">
        <v>561</v>
      </c>
      <c r="C199" s="1867"/>
      <c r="D199" s="1867"/>
      <c r="E199" s="1867"/>
      <c r="F199" s="1867"/>
      <c r="G199" s="1867"/>
      <c r="H199" s="1867"/>
      <c r="I199" s="1867"/>
      <c r="J199" s="1867"/>
      <c r="K199" s="1867"/>
      <c r="L199" s="1867"/>
      <c r="M199" s="1867"/>
      <c r="N199" s="1867"/>
      <c r="O199" s="1867"/>
      <c r="P199" s="1867"/>
      <c r="Q199" s="1867"/>
      <c r="R199" s="1867"/>
    </row>
    <row r="201" spans="1:25">
      <c r="B201" s="207" t="s">
        <v>6</v>
      </c>
      <c r="C201" s="96" t="s">
        <v>472</v>
      </c>
      <c r="R201" s="800">
        <f>'Data Entry'!L128</f>
        <v>0</v>
      </c>
    </row>
    <row r="202" spans="1:25">
      <c r="B202" s="207" t="s">
        <v>8</v>
      </c>
      <c r="C202" s="96" t="s">
        <v>562</v>
      </c>
      <c r="Q202" s="96" t="s">
        <v>489</v>
      </c>
      <c r="R202" s="800">
        <v>0.05</v>
      </c>
    </row>
    <row r="203" spans="1:25">
      <c r="B203" s="207" t="s">
        <v>22</v>
      </c>
      <c r="C203" s="96" t="s">
        <v>563</v>
      </c>
      <c r="Q203" s="96" t="s">
        <v>488</v>
      </c>
      <c r="R203" s="825">
        <f>IF(R201&gt;0,R201*R202,0)</f>
        <v>0</v>
      </c>
    </row>
    <row r="204" spans="1:25" ht="23.25" customHeight="1">
      <c r="B204" s="812" t="s">
        <v>40</v>
      </c>
      <c r="C204" s="1627" t="s">
        <v>564</v>
      </c>
      <c r="D204" s="1627"/>
      <c r="E204" s="1627"/>
      <c r="F204" s="1627"/>
      <c r="G204" s="1627"/>
      <c r="H204" s="1627"/>
      <c r="I204" s="1627"/>
      <c r="J204" s="1627"/>
      <c r="K204" s="1627"/>
      <c r="L204" s="1627"/>
      <c r="R204" s="825">
        <f>'Data Entry'!L129</f>
        <v>0</v>
      </c>
    </row>
    <row r="206" spans="1:25">
      <c r="B206" s="116" t="s">
        <v>565</v>
      </c>
    </row>
    <row r="208" spans="1:25">
      <c r="B208" s="207" t="s">
        <v>98</v>
      </c>
      <c r="C208" s="879" t="s">
        <v>566</v>
      </c>
      <c r="R208" s="800">
        <f>'Data Entry'!L130</f>
        <v>0</v>
      </c>
    </row>
    <row r="209" spans="2:18">
      <c r="B209" s="207" t="s">
        <v>99</v>
      </c>
      <c r="C209" s="879" t="s">
        <v>567</v>
      </c>
      <c r="Q209" s="4" t="s">
        <v>486</v>
      </c>
      <c r="R209" s="800">
        <f>'Data Entry'!L131</f>
        <v>0</v>
      </c>
    </row>
    <row r="210" spans="2:18">
      <c r="B210" s="207" t="s">
        <v>100</v>
      </c>
      <c r="C210" s="879" t="s">
        <v>568</v>
      </c>
      <c r="Q210" s="96" t="s">
        <v>488</v>
      </c>
      <c r="R210" s="800">
        <f>IF(R208-R209&gt;0,R208-R209,0)</f>
        <v>0</v>
      </c>
    </row>
    <row r="211" spans="2:18">
      <c r="B211" s="207" t="s">
        <v>102</v>
      </c>
      <c r="C211" s="879" t="s">
        <v>569</v>
      </c>
      <c r="L211" s="1271" t="s">
        <v>570</v>
      </c>
      <c r="N211" s="1271" t="s">
        <v>489</v>
      </c>
      <c r="O211" s="800">
        <v>0.75</v>
      </c>
      <c r="Q211" s="96" t="s">
        <v>488</v>
      </c>
      <c r="R211" s="800">
        <f>IF(OR(Cover!FiscalYear='Data Entry'!L127+1,Cover!FiscalYear='Data Entry'!L127+2,Cover!FiscalYear='Data Entry'!L127+3),R210*O211,0)</f>
        <v>0</v>
      </c>
    </row>
    <row r="212" spans="2:18">
      <c r="B212" s="207" t="s">
        <v>103</v>
      </c>
      <c r="C212" s="879" t="s">
        <v>571</v>
      </c>
      <c r="L212" s="1271" t="s">
        <v>572</v>
      </c>
      <c r="N212" s="1271" t="s">
        <v>489</v>
      </c>
      <c r="O212" s="800">
        <v>0.5</v>
      </c>
      <c r="Q212" s="96" t="s">
        <v>488</v>
      </c>
      <c r="R212" s="800">
        <f>IF(OR(Cover!FiscalYear='Data Entry'!L127+2,Cover!FiscalYear='Data Entry'!L127+3),R210*O211,0)</f>
        <v>0</v>
      </c>
    </row>
    <row r="213" spans="2:18">
      <c r="B213" s="207" t="s">
        <v>104</v>
      </c>
      <c r="C213" s="879" t="s">
        <v>573</v>
      </c>
      <c r="L213" s="1271" t="s">
        <v>574</v>
      </c>
      <c r="N213" s="1271" t="s">
        <v>489</v>
      </c>
      <c r="O213" s="800">
        <v>0.25</v>
      </c>
      <c r="Q213" s="96" t="s">
        <v>488</v>
      </c>
      <c r="R213" s="800">
        <f>IF(Cover!FiscalYear='Data Entry'!L127+3,R210*O211,0)</f>
        <v>0</v>
      </c>
    </row>
    <row r="214" spans="2:18">
      <c r="B214" s="207" t="s">
        <v>105</v>
      </c>
      <c r="C214" s="879" t="s">
        <v>575</v>
      </c>
      <c r="R214" s="800">
        <f>R211+R212+R213</f>
        <v>0</v>
      </c>
    </row>
    <row r="215" spans="2:18">
      <c r="C215" s="879"/>
    </row>
    <row r="216" spans="2:18" ht="34.5" customHeight="1">
      <c r="B216" s="1867" t="s">
        <v>576</v>
      </c>
      <c r="C216" s="1867"/>
      <c r="D216" s="1867"/>
      <c r="E216" s="1867"/>
      <c r="F216" s="1867"/>
      <c r="G216" s="1867"/>
      <c r="H216" s="1867"/>
      <c r="I216" s="1867"/>
      <c r="J216" s="1867"/>
      <c r="K216" s="1867"/>
      <c r="L216" s="1867"/>
      <c r="M216" s="1867"/>
      <c r="N216" s="1867"/>
      <c r="O216" s="1867"/>
      <c r="P216" s="1867"/>
      <c r="Q216" s="1867"/>
      <c r="R216" s="1867"/>
    </row>
    <row r="218" spans="2:18">
      <c r="B218" s="207" t="s">
        <v>106</v>
      </c>
      <c r="C218" s="96" t="s">
        <v>577</v>
      </c>
    </row>
    <row r="219" spans="2:18">
      <c r="C219" s="1271" t="s">
        <v>376</v>
      </c>
      <c r="D219" s="879" t="s">
        <v>578</v>
      </c>
      <c r="Q219" s="865" t="s">
        <v>273</v>
      </c>
      <c r="R219" s="866">
        <f>IF(AND('Data Entry'!C133="X",'Data Entry'!L129&gt;=500,Cover!FiscalYear='Data Entry'!L127+1),650000,0)</f>
        <v>0</v>
      </c>
    </row>
    <row r="220" spans="2:18">
      <c r="C220" s="1271" t="s">
        <v>377</v>
      </c>
      <c r="D220" s="879" t="s">
        <v>579</v>
      </c>
      <c r="Q220" s="865" t="s">
        <v>273</v>
      </c>
      <c r="R220" s="866">
        <f>IF(AND('Data Entry'!C133="X",'Data Entry'!L129&gt;=500,Cover!FiscalYear='Data Entry'!L127+2),600000,0)</f>
        <v>0</v>
      </c>
    </row>
    <row r="221" spans="2:18">
      <c r="C221" s="1271" t="s">
        <v>378</v>
      </c>
      <c r="D221" s="879" t="s">
        <v>580</v>
      </c>
      <c r="Q221" s="865" t="s">
        <v>273</v>
      </c>
      <c r="R221" s="866">
        <f>IF(AND('Data Entry'!C133="X",'Data Entry'!L129&gt;=500,Cover!FiscalYear='Data Entry'!L127+3),500000,0)</f>
        <v>0</v>
      </c>
    </row>
    <row r="222" spans="2:18">
      <c r="C222" s="1271" t="s">
        <v>463</v>
      </c>
      <c r="D222" s="879" t="s">
        <v>581</v>
      </c>
      <c r="Q222" s="865" t="s">
        <v>273</v>
      </c>
      <c r="R222" s="866">
        <f>IF(AND('Data Entry'!C133="X",'Data Entry'!L129&gt;=500,Cover!FiscalYear='Data Entry'!L127+4),300000,0)</f>
        <v>0</v>
      </c>
    </row>
    <row r="223" spans="2:18">
      <c r="C223" s="1271" t="s">
        <v>498</v>
      </c>
      <c r="D223" s="879" t="s">
        <v>582</v>
      </c>
      <c r="Q223" s="865" t="s">
        <v>273</v>
      </c>
      <c r="R223" s="866">
        <f>IF(AND('Data Entry'!C133="X",'Data Entry'!L129&gt;=500,Cover!FiscalYear='Data Entry'!L127+5),100000,0)</f>
        <v>0</v>
      </c>
    </row>
    <row r="224" spans="2:18">
      <c r="B224" s="207" t="s">
        <v>107</v>
      </c>
      <c r="C224" s="96" t="s">
        <v>583</v>
      </c>
    </row>
    <row r="225" spans="1:18">
      <c r="C225" s="1271" t="s">
        <v>376</v>
      </c>
      <c r="D225" s="879" t="s">
        <v>584</v>
      </c>
      <c r="Q225" s="865" t="s">
        <v>273</v>
      </c>
      <c r="R225" s="866">
        <f>IF(AND(VALUE(LEFT(RIGHT(O1,7),2))=5,'Data Entry'!C133="X",'Data Entry'!L129&gt;=50,Cover!FiscalYear='Data Entry'!L127+1),100000,0)</f>
        <v>0</v>
      </c>
    </row>
    <row r="226" spans="1:18">
      <c r="C226" s="1271" t="s">
        <v>377</v>
      </c>
      <c r="D226" s="879" t="s">
        <v>585</v>
      </c>
      <c r="Q226" s="865" t="s">
        <v>273</v>
      </c>
      <c r="R226" s="866">
        <f>IF(AND(VALUE(LEFT(RIGHT(O1,7),2))=5,'Data Entry'!C133="X",'Data Entry'!L135&gt;=50,Cover!FiscalYear='Data Entry'!L127+2),200000,0)</f>
        <v>0</v>
      </c>
    </row>
    <row r="227" spans="1:18">
      <c r="C227" s="1271" t="s">
        <v>378</v>
      </c>
      <c r="D227" s="879" t="s">
        <v>586</v>
      </c>
      <c r="Q227" s="865" t="s">
        <v>273</v>
      </c>
      <c r="R227" s="866">
        <f>IF(AND(VALUE(LEFT(RIGHT(O1,7),2))=5,'Data Entry'!C133="X",'Data Entry'!L136&gt;=50,Cover!FiscalYear='Data Entry'!L127+3),325000,0)</f>
        <v>0</v>
      </c>
    </row>
    <row r="228" spans="1:18">
      <c r="C228" s="1271" t="s">
        <v>463</v>
      </c>
      <c r="D228" s="879" t="s">
        <v>587</v>
      </c>
      <c r="Q228" s="865" t="s">
        <v>273</v>
      </c>
      <c r="R228" s="866">
        <f>IF(AND(VALUE(LEFT(RIGHT(O1,7),2))=5,'Data Entry'!C133="X",Cover!FiscalYear='Data Entry'!L127+4),200000,0)</f>
        <v>0</v>
      </c>
    </row>
    <row r="229" spans="1:18">
      <c r="C229" s="1271" t="s">
        <v>498</v>
      </c>
      <c r="D229" s="879" t="s">
        <v>588</v>
      </c>
      <c r="Q229" s="865" t="s">
        <v>273</v>
      </c>
      <c r="R229" s="866">
        <f>IF(AND(VALUE(LEFT(RIGHT(O1,7),2))=5,'Data Entry'!C133="X",Cover!FiscalYear='Data Entry'!L127+5),100000,0)</f>
        <v>0</v>
      </c>
    </row>
    <row r="232" spans="1:18" ht="15.75" customHeight="1">
      <c r="A232" s="830" t="s">
        <v>589</v>
      </c>
      <c r="B232" s="830"/>
      <c r="C232" s="830"/>
      <c r="D232" s="830"/>
      <c r="E232" s="830"/>
      <c r="F232" s="830"/>
      <c r="G232" s="830"/>
      <c r="H232" s="830"/>
      <c r="I232" s="830"/>
      <c r="J232" s="830"/>
      <c r="K232" s="830"/>
      <c r="L232" s="830"/>
    </row>
    <row r="233" spans="1:18" ht="8.25" customHeight="1"/>
    <row r="234" spans="1:18">
      <c r="B234" s="207" t="s">
        <v>6</v>
      </c>
      <c r="C234" s="880" t="s">
        <v>590</v>
      </c>
      <c r="Q234" s="865" t="s">
        <v>273</v>
      </c>
      <c r="R234" s="866">
        <f>F001P530</f>
        <v>0</v>
      </c>
    </row>
    <row r="235" spans="1:18">
      <c r="B235" s="207" t="s">
        <v>8</v>
      </c>
      <c r="C235" s="881" t="s">
        <v>591</v>
      </c>
      <c r="Q235" s="865" t="s">
        <v>273</v>
      </c>
      <c r="R235" s="866">
        <f>R214+(IF(AND(Cover!FiscalYear='Data Entry'!L127+1,(R219+R225)&gt;0),R219+R225,IF(AND(Cover!FiscalYear='Data Entry'!L127+2,(R220+R226)&gt;0),R220+R226,IF(AND(Cover!FiscalYear='Data Entry'!L127+3,(R221+R227)&gt;0),R221+R227,IF(AND(Cover!FiscalYear='Data Entry'!L127+4,(R222+R228)&gt;0),R222+R228,IF(AND(Cover!FiscalYear='Data Entry'!L127+5,(R223+R229)&gt;0),R223+R229,0))))))</f>
        <v>0</v>
      </c>
    </row>
    <row r="236" spans="1:18">
      <c r="B236" s="207" t="s">
        <v>22</v>
      </c>
      <c r="C236" s="880" t="s">
        <v>592</v>
      </c>
      <c r="Q236" s="865" t="s">
        <v>273</v>
      </c>
      <c r="R236" s="866">
        <f>'Truth in Tax'!I31</f>
        <v>0</v>
      </c>
    </row>
    <row r="237" spans="1:18">
      <c r="B237" s="207" t="s">
        <v>40</v>
      </c>
      <c r="C237" s="880" t="s">
        <v>593</v>
      </c>
      <c r="Q237" s="865" t="s">
        <v>273</v>
      </c>
      <c r="R237" s="866">
        <f>F001P540</f>
        <v>0</v>
      </c>
    </row>
    <row r="238" spans="1:18">
      <c r="B238" s="207" t="s">
        <v>98</v>
      </c>
      <c r="C238" s="880" t="s">
        <v>594</v>
      </c>
      <c r="Q238" s="865" t="s">
        <v>273</v>
      </c>
      <c r="R238" s="866">
        <f>'Truth in Tax'!I29</f>
        <v>0</v>
      </c>
    </row>
    <row r="239" spans="1:18" ht="23.25" customHeight="1">
      <c r="B239" s="812" t="s">
        <v>99</v>
      </c>
      <c r="C239" s="1627" t="s">
        <v>595</v>
      </c>
      <c r="D239" s="1627"/>
      <c r="E239" s="1627"/>
      <c r="F239" s="1627"/>
      <c r="G239" s="1627"/>
      <c r="H239" s="1627"/>
      <c r="I239" s="1627"/>
      <c r="J239" s="1627"/>
      <c r="K239" s="1627"/>
      <c r="L239" s="1627"/>
      <c r="Q239" s="865" t="s">
        <v>273</v>
      </c>
      <c r="R239" s="866">
        <f>IF(AND(SSA_MO&lt;=50000,OR('Data Entry'!Y29=1,'Data Entry'!Z29=1)),SSA_MO,0)</f>
        <v>0</v>
      </c>
    </row>
  </sheetData>
  <sheetProtection sheet="1" formatCells="0" formatColumns="0" formatRows="0"/>
  <mergeCells count="65">
    <mergeCell ref="A4:E4"/>
    <mergeCell ref="C239:L239"/>
    <mergeCell ref="J18:K18"/>
    <mergeCell ref="J19:K19"/>
    <mergeCell ref="J32:K32"/>
    <mergeCell ref="J21:K21"/>
    <mergeCell ref="J22:K22"/>
    <mergeCell ref="J30:K30"/>
    <mergeCell ref="J24:K24"/>
    <mergeCell ref="J33:K33"/>
    <mergeCell ref="J29:K29"/>
    <mergeCell ref="B216:R216"/>
    <mergeCell ref="C204:L204"/>
    <mergeCell ref="B199:R199"/>
    <mergeCell ref="Q95:R95"/>
    <mergeCell ref="A82:S82"/>
    <mergeCell ref="A197:S197"/>
    <mergeCell ref="K95:L95"/>
    <mergeCell ref="A167:R167"/>
    <mergeCell ref="C91:I91"/>
    <mergeCell ref="C103:J103"/>
    <mergeCell ref="C122:N122"/>
    <mergeCell ref="A133:R133"/>
    <mergeCell ref="C119:L120"/>
    <mergeCell ref="C125:J125"/>
    <mergeCell ref="A131:R131"/>
    <mergeCell ref="C189:O189"/>
    <mergeCell ref="L1:N1"/>
    <mergeCell ref="I1:K1"/>
    <mergeCell ref="A1:D1"/>
    <mergeCell ref="E1:G1"/>
    <mergeCell ref="N95:O95"/>
    <mergeCell ref="N91:O91"/>
    <mergeCell ref="H9:I10"/>
    <mergeCell ref="J25:K25"/>
    <mergeCell ref="J9:L10"/>
    <mergeCell ref="J16:K16"/>
    <mergeCell ref="J20:K20"/>
    <mergeCell ref="J23:K23"/>
    <mergeCell ref="J17:K17"/>
    <mergeCell ref="F4:I4"/>
    <mergeCell ref="J26:K26"/>
    <mergeCell ref="J27:K27"/>
    <mergeCell ref="T39:V40"/>
    <mergeCell ref="J11:K11"/>
    <mergeCell ref="J12:K12"/>
    <mergeCell ref="J13:K13"/>
    <mergeCell ref="J14:K14"/>
    <mergeCell ref="J15:K15"/>
    <mergeCell ref="T33:V33"/>
    <mergeCell ref="J31:K31"/>
    <mergeCell ref="J28:K28"/>
    <mergeCell ref="T136:U136"/>
    <mergeCell ref="T147:U147"/>
    <mergeCell ref="C146:Q146"/>
    <mergeCell ref="C157:O157"/>
    <mergeCell ref="A165:R165"/>
    <mergeCell ref="A163:R163"/>
    <mergeCell ref="U194:X194"/>
    <mergeCell ref="U188:X188"/>
    <mergeCell ref="U189:X189"/>
    <mergeCell ref="U190:X190"/>
    <mergeCell ref="U191:X191"/>
    <mergeCell ref="U192:X192"/>
    <mergeCell ref="U193:X193"/>
  </mergeCells>
  <hyperlinks>
    <hyperlink ref="D176" r:id="rId1" display="G. K-8 Revenue Control Limit (2)" xr:uid="{00000000-0004-0000-1000-000000000000}"/>
    <hyperlink ref="D186" r:id="rId2" display="G. 9-12 Revenue Control Limit" xr:uid="{00000000-0004-0000-1000-000001000000}"/>
    <hyperlink ref="B84" location="BUDG75Adj" display="2." xr:uid="{00000000-0004-0000-1000-000002000000}"/>
    <hyperlink ref="B90" location="PYTotMOActExpend" display="8." xr:uid="{00000000-0004-0000-1000-000003000000}"/>
    <hyperlink ref="B95" location="PYActExpend" display="10." xr:uid="{00000000-0004-0000-1000-000004000000}"/>
    <hyperlink ref="C107" location="PYEndMOCash" display="a." xr:uid="{00000000-0004-0000-1000-000005000000}"/>
    <hyperlink ref="C112" location="AccommRCL10" display="b." xr:uid="{00000000-0004-0000-1000-000006000000}"/>
    <hyperlink ref="C113" location="AccommRCL05" display="c." xr:uid="{00000000-0004-0000-1000-000007000000}"/>
    <hyperlink ref="B118" location="CYIARev" display="1." xr:uid="{00000000-0004-0000-1000-000008000000}"/>
    <hyperlink ref="B119" location="CYIARevBondDS" display="2." xr:uid="{00000000-0004-0000-1000-000009000000}"/>
    <hyperlink ref="B122" location="CYIAMOTRCL" display="4." xr:uid="{00000000-0004-0000-1000-00000A000000}"/>
    <hyperlink ref="B123" location="CYIAMOTax" display="5." xr:uid="{00000000-0004-0000-1000-00000B000000}"/>
    <hyperlink ref="B124" location="PYIAEndCash" display="6." xr:uid="{00000000-0004-0000-1000-00000C000000}"/>
    <hyperlink ref="B157" location="SSAPDRCL10" display="3." xr:uid="{00000000-0004-0000-1000-00000D000000}"/>
    <hyperlink ref="B189" location="SSAPDRCL10" display="3." xr:uid="{00000000-0004-0000-1000-00000E000000}"/>
    <hyperlink ref="A4" location="CalcGeneral" display="Instructions" xr:uid="{00000000-0004-0000-1000-00000F000000}"/>
  </hyperlinks>
  <printOptions horizontalCentered="1"/>
  <pageMargins left="0.25" right="0.25" top="0.25" bottom="0.25" header="0" footer="0.15"/>
  <pageSetup paperSize="5" scale="52" fitToWidth="2" fitToHeight="2" orientation="portrait" r:id="rId3"/>
  <headerFooter alignWithMargins="0">
    <oddFooter>&amp;L&amp;"Times New Roman,Bold"&amp;9Rev. 5/26&amp;K000000 Arizona Department of Education and Auditor General&amp;C&amp;"Times New Roman,Regular"&amp;9&amp;D  &amp;T</oddFooter>
  </headerFooter>
  <rowBreaks count="1" manualBreakCount="1">
    <brk id="116" max="18"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AB346"/>
  <sheetViews>
    <sheetView showGridLines="0" topLeftCell="A19" zoomScaleNormal="100" workbookViewId="0">
      <selection activeCell="C27" sqref="C27"/>
    </sheetView>
  </sheetViews>
  <sheetFormatPr defaultColWidth="8.81640625" defaultRowHeight="15" customHeight="1"/>
  <cols>
    <col min="1" max="1" width="34.81640625" style="97" customWidth="1"/>
    <col min="2" max="2" width="9.81640625" style="97" customWidth="1"/>
    <col min="3" max="4" width="9" style="97" customWidth="1"/>
    <col min="5" max="5" width="11.81640625" style="97" customWidth="1"/>
    <col min="6" max="6" width="13.81640625" style="97" customWidth="1"/>
    <col min="7" max="7" width="11.81640625" style="97" customWidth="1"/>
    <col min="8" max="8" width="11.453125" style="97" customWidth="1"/>
    <col min="9" max="9" width="10.81640625" style="97" customWidth="1"/>
    <col min="10" max="10" width="10" style="97" customWidth="1"/>
    <col min="11" max="11" width="10.81640625" style="97" customWidth="1"/>
    <col min="12" max="12" width="15.453125" style="97" bestFit="1" customWidth="1"/>
    <col min="13" max="13" width="10" style="126" bestFit="1" customWidth="1"/>
    <col min="14" max="26" width="8.81640625" style="97" customWidth="1"/>
    <col min="27" max="27" width="8.81640625" style="149" customWidth="1"/>
    <col min="28" max="33" width="8.81640625" style="97" customWidth="1"/>
    <col min="34" max="16384" width="8.81640625" style="97"/>
  </cols>
  <sheetData>
    <row r="1" spans="1:27" ht="15" customHeight="1">
      <c r="A1" s="882" t="s">
        <v>56</v>
      </c>
      <c r="B1" s="1552" t="str">
        <f>DistrictName</f>
        <v>Pomerene Elementary School District</v>
      </c>
      <c r="C1" s="1552"/>
      <c r="D1" s="1552"/>
      <c r="E1" s="1552"/>
      <c r="F1" s="882" t="s">
        <v>1</v>
      </c>
      <c r="G1" s="1551" t="str">
        <f>Cover!H1</f>
        <v>Cochise</v>
      </c>
      <c r="H1" s="1552"/>
      <c r="I1" s="1552"/>
      <c r="K1" s="882" t="s">
        <v>57</v>
      </c>
      <c r="L1" s="1553" t="str">
        <f>CTD</f>
        <v>020364000</v>
      </c>
      <c r="M1" s="1553"/>
      <c r="AA1" s="126"/>
    </row>
    <row r="2" spans="1:27" ht="15" customHeight="1">
      <c r="A2" s="1313"/>
      <c r="B2" s="1313"/>
      <c r="C2" s="351"/>
      <c r="D2" s="4"/>
      <c r="E2" s="1313"/>
      <c r="F2" s="351"/>
      <c r="G2" s="4"/>
      <c r="H2" s="4"/>
      <c r="I2" s="96"/>
      <c r="K2" s="882" t="s">
        <v>16</v>
      </c>
      <c r="L2" s="1554" t="str">
        <f>Version</f>
        <v>Proposed</v>
      </c>
      <c r="M2" s="1554"/>
      <c r="AA2" s="126"/>
    </row>
    <row r="3" spans="1:27" ht="15" customHeight="1">
      <c r="A3" s="1476" t="s">
        <v>691</v>
      </c>
      <c r="C3" s="883"/>
      <c r="D3" s="1539" t="str">
        <f>IF(DistrictName&lt;&gt;0,DistrictName,"")</f>
        <v>Pomerene Elementary School District</v>
      </c>
      <c r="E3" s="1539"/>
      <c r="F3" s="1539"/>
      <c r="G3" s="1539"/>
      <c r="H3" s="1539"/>
      <c r="I3" s="883"/>
      <c r="J3" s="883"/>
      <c r="K3" s="883"/>
      <c r="L3" s="883"/>
      <c r="M3" s="883"/>
      <c r="AA3" s="126"/>
    </row>
    <row r="4" spans="1:27" ht="34.5" customHeight="1">
      <c r="C4" s="309"/>
      <c r="D4" s="1540" t="s">
        <v>596</v>
      </c>
      <c r="E4" s="1540"/>
      <c r="F4" s="1540"/>
      <c r="G4" s="1540"/>
      <c r="H4" s="1540"/>
      <c r="I4" s="309"/>
      <c r="J4" s="309"/>
      <c r="K4" s="309"/>
      <c r="L4" s="309"/>
      <c r="M4" s="309"/>
      <c r="AA4" s="126"/>
    </row>
    <row r="5" spans="1:27" ht="15" customHeight="1" thickBot="1">
      <c r="A5" s="858"/>
      <c r="B5" s="858"/>
      <c r="C5" s="884"/>
      <c r="D5" s="884"/>
      <c r="E5" s="858"/>
      <c r="F5" s="885" t="s">
        <v>597</v>
      </c>
      <c r="G5" s="886" t="str">
        <f>IF(AND(SmallIsolatedPSD8Checkbox="X",SmallIsolated912Checkbox="X"),"Both Elementary and High School",IF(SmallIsolatedPSD8Checkbox="X","Elementary",IF(SmallIsolated912Checkbox="X","High School","Not Isolated")))</f>
        <v>Not Isolated</v>
      </c>
      <c r="H5" s="858"/>
      <c r="I5" s="858"/>
      <c r="J5" s="858"/>
      <c r="K5" s="884"/>
      <c r="L5" s="887" t="s">
        <v>598</v>
      </c>
      <c r="M5" s="887" t="s">
        <v>599</v>
      </c>
      <c r="AA5" s="126"/>
    </row>
    <row r="6" spans="1:27" ht="26.25" customHeight="1">
      <c r="A6" s="888" t="s">
        <v>600</v>
      </c>
      <c r="B6" s="96"/>
      <c r="C6" s="889" t="s">
        <v>601</v>
      </c>
      <c r="D6" s="889" t="s">
        <v>602</v>
      </c>
      <c r="E6" s="889" t="s">
        <v>603</v>
      </c>
      <c r="F6" s="889" t="s">
        <v>485</v>
      </c>
      <c r="G6" s="889" t="s">
        <v>604</v>
      </c>
      <c r="H6" s="889" t="s">
        <v>605</v>
      </c>
      <c r="I6" s="889" t="s">
        <v>606</v>
      </c>
      <c r="AA6" s="126"/>
    </row>
    <row r="7" spans="1:27" ht="15" customHeight="1">
      <c r="A7" s="890" t="s">
        <v>428</v>
      </c>
      <c r="B7" s="96"/>
      <c r="C7" s="891">
        <f>NonAOIStudCntPSDCY</f>
        <v>0</v>
      </c>
      <c r="D7" s="891">
        <f>AOIFTStudCntPSDCY</f>
        <v>0</v>
      </c>
      <c r="E7" s="892">
        <f>AOIPTStudCntPSDCY</f>
        <v>0</v>
      </c>
      <c r="F7" s="893">
        <f>IF(AND(C7=0,D7=0,E7=0),0,1.45)</f>
        <v>0</v>
      </c>
      <c r="G7" s="892">
        <f>NonAOIStudCntPSDCY*F7</f>
        <v>0</v>
      </c>
      <c r="H7" s="892">
        <f>AOIFTStudCntPSDCY*F7</f>
        <v>0</v>
      </c>
      <c r="I7" s="892">
        <f>AOIPTStudCntPSDCY*F7</f>
        <v>0</v>
      </c>
      <c r="AA7" s="126"/>
    </row>
    <row r="8" spans="1:27" ht="15" customHeight="1">
      <c r="A8" s="890" t="s">
        <v>607</v>
      </c>
      <c r="B8" s="96"/>
      <c r="C8" s="891">
        <f>NonAOIStudCntK8CY</f>
        <v>105</v>
      </c>
      <c r="D8" s="891">
        <f>AOIFTStudCntK8CY</f>
        <v>0</v>
      </c>
      <c r="E8" s="892">
        <f>AOIPTStudCntK8CY</f>
        <v>0</v>
      </c>
      <c r="F8" s="893">
        <f>IF(UnweightedStudCntK8CY&gt;0,AA13,0)</f>
        <v>1.3965000000000001</v>
      </c>
      <c r="G8" s="892">
        <f>NonAOIStudCntK8CY*F8</f>
        <v>146.63249999999999</v>
      </c>
      <c r="H8" s="892">
        <f>AOIFTStudCntK8CY*F8</f>
        <v>0</v>
      </c>
      <c r="I8" s="892">
        <f>AOIPTStudCntK8CY*F8</f>
        <v>0</v>
      </c>
      <c r="AA8" s="126"/>
    </row>
    <row r="9" spans="1:27" ht="15" customHeight="1">
      <c r="A9" s="890" t="s">
        <v>430</v>
      </c>
      <c r="B9" s="96"/>
      <c r="C9" s="891">
        <f>NonAOIStudCnt912CY</f>
        <v>0</v>
      </c>
      <c r="D9" s="894">
        <f>AOIFTStudCnt912CY</f>
        <v>0</v>
      </c>
      <c r="E9" s="892">
        <f>AOIPTStudCnt912CY</f>
        <v>0</v>
      </c>
      <c r="F9" s="893">
        <f>IF(VALUE(LEFT(RIGHT(L1,7),2))=8,SuppLvlWgt912NonIsolated,IF(UnweightedStudCnt912CY&gt;0,AA15,0))</f>
        <v>0</v>
      </c>
      <c r="G9" s="892">
        <f>NonAOIStudCnt912CY*F9</f>
        <v>0</v>
      </c>
      <c r="H9" s="895">
        <f>AOIFTStudCnt912CY*F9</f>
        <v>0</v>
      </c>
      <c r="I9" s="892">
        <f>AOIPTStudCnt912CY*F9</f>
        <v>0</v>
      </c>
      <c r="AA9" s="126"/>
    </row>
    <row r="10" spans="1:27" ht="15" customHeight="1">
      <c r="A10" s="1302" t="s">
        <v>608</v>
      </c>
      <c r="B10" s="96"/>
      <c r="C10" s="896">
        <f>TotalNonAOIStudCntCY</f>
        <v>105</v>
      </c>
      <c r="D10" s="896">
        <f>TotalAOIFTStudCntCY</f>
        <v>0</v>
      </c>
      <c r="E10" s="897">
        <f>TotalAOIPTStudCntCY</f>
        <v>0</v>
      </c>
      <c r="F10" s="892"/>
      <c r="G10" s="892"/>
      <c r="H10" s="895"/>
      <c r="I10" s="892"/>
      <c r="AA10" s="126"/>
    </row>
    <row r="11" spans="1:27" ht="15" customHeight="1">
      <c r="A11" s="1302" t="s">
        <v>609</v>
      </c>
      <c r="B11" s="96"/>
      <c r="C11" s="892"/>
      <c r="D11" s="892"/>
      <c r="E11" s="897">
        <f>SUM(C10:E10)</f>
        <v>105</v>
      </c>
      <c r="F11" s="892"/>
      <c r="G11" s="892"/>
      <c r="H11" s="892"/>
      <c r="I11" s="892"/>
      <c r="AA11" s="126"/>
    </row>
    <row r="12" spans="1:27" ht="15" customHeight="1">
      <c r="A12" s="1302" t="s">
        <v>610</v>
      </c>
      <c r="B12" s="96"/>
      <c r="C12" s="892"/>
      <c r="D12" s="892"/>
      <c r="E12" s="892"/>
      <c r="F12" s="892"/>
      <c r="G12" s="897">
        <f>((C7*F7)+(C8*F8)+(C9*F9))</f>
        <v>146.63249999999999</v>
      </c>
      <c r="H12" s="897">
        <f>((D7*F7)+(D8*F8)+(D9*F9))</f>
        <v>0</v>
      </c>
      <c r="I12" s="897">
        <f>((E7*F7)+(E8*F8)+(E9*F9))</f>
        <v>0</v>
      </c>
      <c r="AA12" s="126"/>
    </row>
    <row r="13" spans="1:27" ht="15" customHeight="1">
      <c r="A13" s="898" t="s">
        <v>611</v>
      </c>
      <c r="B13" s="206"/>
      <c r="C13" s="895"/>
      <c r="D13" s="895"/>
      <c r="E13" s="895"/>
      <c r="F13" s="895"/>
      <c r="G13" s="895"/>
      <c r="H13" s="895"/>
      <c r="I13" s="899">
        <f>(((C7+D7+E7)*F7)+((C8+D8+E8)*F8)+((C9+D9+E9)*F9))</f>
        <v>146.63249999999999</v>
      </c>
      <c r="J13" s="145"/>
      <c r="K13" s="145"/>
      <c r="L13" s="145"/>
      <c r="M13" s="900"/>
      <c r="AA13" s="901">
        <f>IF(AND('Data Entry'!H34&lt;100,SmallIsolatedPSD8Checkbox="X"),Calculations!H13,IF(AND('Data Entry'!H34&lt;100,SmallIsolatedPSD8Checkbox&lt;&gt;"X"),Calculations!J13,IF(AND('Data Entry'!H34&gt;=100,'Data Entry'!H34&lt;500,SmallIsolatedPSD8Checkbox="X"),Calculations!H21,IF(AND('Data Entry'!H34&gt;=100,'Data Entry'!H34&lt;500,SmallIsolatedPSD8Checkbox&lt;&gt;"X"),Calculations!J21,IF(AND('Data Entry'!H34&gt;=500,'Data Entry'!H34&lt;600,SmallIsolatedPSD8Checkbox="X"),Calculations!H29,IF(AND('Data Entry'!H34&gt;=500,'Data Entry'!H34&lt;600,SmallIsolatedPSD8Checkbox&lt;&gt;"X"),Calculations!J29,IF('Data Entry'!H34&gt;=600,Calculations!J31,0)))))))</f>
        <v>1.3965000000000001</v>
      </c>
    </row>
    <row r="14" spans="1:27" ht="7.5" customHeight="1" thickBot="1">
      <c r="A14" s="902"/>
      <c r="B14" s="858"/>
      <c r="C14" s="903"/>
      <c r="D14" s="903"/>
      <c r="E14" s="903"/>
      <c r="F14" s="903"/>
      <c r="G14" s="903"/>
      <c r="H14" s="903"/>
      <c r="I14" s="904"/>
      <c r="J14" s="884"/>
      <c r="K14" s="884"/>
      <c r="L14" s="884"/>
      <c r="M14" s="905"/>
      <c r="AA14" s="906"/>
    </row>
    <row r="15" spans="1:27" s="145" customFormat="1" ht="7.5" customHeight="1">
      <c r="A15" s="206"/>
      <c r="B15" s="206"/>
      <c r="C15" s="206"/>
      <c r="D15" s="206"/>
      <c r="E15" s="206"/>
      <c r="F15" s="206"/>
      <c r="G15" s="206"/>
      <c r="H15" s="206"/>
      <c r="I15" s="206"/>
      <c r="M15" s="900"/>
      <c r="AA15" s="907">
        <f>IF(AND('Data Entry'!I34&lt;100,SmallIsolated912Checkbox="X"),Calculations!I13,IF(AND('Data Entry'!I34&lt;100,SmallIsolated912Checkbox&lt;&gt;"X"),Calculations!L13,IF(AND('Data Entry'!I34&gt;=100,'Data Entry'!I34&lt;500,SmallIsolated912Checkbox="X"),Calculations!I21,IF(AND('Data Entry'!I34&gt;=100,'Data Entry'!I34&lt;500,SmallIsolated912Checkbox&lt;&gt;"X"),Calculations!L21,IF(AND('Data Entry'!I34&gt;=500,'Data Entry'!I34&lt;600,SmallIsolated912Checkbox="X"),Calculations!I29,IF(AND('Data Entry'!I34&gt;=500,'Data Entry'!I34&lt;600,SmallIsolated912Checkbox&lt;&gt;"X"),Calculations!L29,IF('Data Entry'!I34&gt;=600,Calculations!L31,0)))))))</f>
        <v>1.5589999999999999</v>
      </c>
    </row>
    <row r="16" spans="1:27" ht="26.25" customHeight="1">
      <c r="A16" s="908" t="s">
        <v>612</v>
      </c>
      <c r="B16" s="269"/>
      <c r="C16" s="889" t="s">
        <v>601</v>
      </c>
      <c r="D16" s="889" t="s">
        <v>602</v>
      </c>
      <c r="E16" s="889" t="s">
        <v>603</v>
      </c>
      <c r="F16" s="889" t="s">
        <v>485</v>
      </c>
      <c r="G16" s="889" t="s">
        <v>604</v>
      </c>
      <c r="H16" s="889" t="s">
        <v>605</v>
      </c>
      <c r="I16" s="889" t="s">
        <v>606</v>
      </c>
      <c r="AA16" s="126"/>
    </row>
    <row r="17" spans="1:27" ht="15" customHeight="1">
      <c r="A17" s="283" t="s">
        <v>436</v>
      </c>
      <c r="B17" s="269"/>
      <c r="C17" s="892">
        <f>NonAOIStudCntELL</f>
        <v>0</v>
      </c>
      <c r="D17" s="892">
        <f>AOIFTStudCntELL</f>
        <v>0</v>
      </c>
      <c r="E17" s="892">
        <f>AOIPTStudCntELL</f>
        <v>0</v>
      </c>
      <c r="F17" s="893">
        <v>0.115</v>
      </c>
      <c r="G17" s="892">
        <f>NonAOIStudCntELL*F17</f>
        <v>0</v>
      </c>
      <c r="H17" s="892">
        <f>AOIFTStudCntELL*F17</f>
        <v>0</v>
      </c>
      <c r="I17" s="892">
        <f>AOIPTStudCntELL*F17</f>
        <v>0</v>
      </c>
      <c r="AA17" s="126"/>
    </row>
    <row r="18" spans="1:27" ht="15" customHeight="1">
      <c r="A18" s="283" t="s">
        <v>435</v>
      </c>
      <c r="B18" s="269"/>
      <c r="C18" s="892">
        <f>NonAOIStudCntK3</f>
        <v>50</v>
      </c>
      <c r="D18" s="892">
        <f>AOIFTStudCntK3</f>
        <v>0</v>
      </c>
      <c r="E18" s="892">
        <f>AOIPTStudCntK3</f>
        <v>0</v>
      </c>
      <c r="F18" s="893">
        <v>0.06</v>
      </c>
      <c r="G18" s="892">
        <f>NonAOIStudCntK3*F18</f>
        <v>3</v>
      </c>
      <c r="H18" s="892">
        <f>AOIFTStudCntK3*F18</f>
        <v>0</v>
      </c>
      <c r="I18" s="892">
        <f>AOIPTStudCntK3*F18</f>
        <v>0</v>
      </c>
      <c r="AA18" s="126"/>
    </row>
    <row r="19" spans="1:27" ht="15" customHeight="1">
      <c r="A19" s="283" t="s">
        <v>613</v>
      </c>
      <c r="B19" s="269"/>
      <c r="C19" s="892">
        <f>NonAOIStudCntK3R</f>
        <v>50</v>
      </c>
      <c r="D19" s="892">
        <f>AOIFTStudCntK3R</f>
        <v>0</v>
      </c>
      <c r="E19" s="892">
        <f>AOIPTStudCntK3R</f>
        <v>0</v>
      </c>
      <c r="F19" s="893">
        <v>0.04</v>
      </c>
      <c r="G19" s="892">
        <f>NonAOIStudCntK3R*F19</f>
        <v>2</v>
      </c>
      <c r="H19" s="892">
        <f>AOIFTStudCntK3R*F19</f>
        <v>0</v>
      </c>
      <c r="I19" s="892">
        <f>AOIPTStudCntK3R*F19</f>
        <v>0</v>
      </c>
      <c r="AA19" s="126"/>
    </row>
    <row r="20" spans="1:27" ht="15" customHeight="1">
      <c r="A20" s="283" t="s">
        <v>437</v>
      </c>
      <c r="B20" s="269"/>
      <c r="C20" s="892">
        <f>NonAOIStudCntHI</f>
        <v>0</v>
      </c>
      <c r="D20" s="892">
        <f>AOIFTStudCntHI</f>
        <v>0</v>
      </c>
      <c r="E20" s="892">
        <f>AOIPTStudCntHI</f>
        <v>0</v>
      </c>
      <c r="F20" s="893">
        <v>4.7709999999999999</v>
      </c>
      <c r="G20" s="892">
        <f>NonAOIStudCntHI*F20</f>
        <v>0</v>
      </c>
      <c r="H20" s="892">
        <f>AOIFTStudCntHI*F20</f>
        <v>0</v>
      </c>
      <c r="I20" s="892">
        <f>AOIPTStudCntHI*F20</f>
        <v>0</v>
      </c>
      <c r="AA20" s="126"/>
    </row>
    <row r="21" spans="1:27" ht="15" customHeight="1">
      <c r="A21" s="283" t="s">
        <v>614</v>
      </c>
      <c r="B21" s="269"/>
      <c r="C21" s="892">
        <f>NonAOIStudCntMDR.AR.SIDR</f>
        <v>0</v>
      </c>
      <c r="D21" s="892">
        <f>AOIFTStudCntMDR.AR.SIDR</f>
        <v>0</v>
      </c>
      <c r="E21" s="892">
        <f>AOIPTStudCntMDR.AR.SIDR</f>
        <v>0</v>
      </c>
      <c r="F21" s="893">
        <v>6.024</v>
      </c>
      <c r="G21" s="892">
        <f>NonAOIStudCntMDR.AR.SIDR*F21</f>
        <v>0</v>
      </c>
      <c r="H21" s="892">
        <f>AOIFTStudCntMDR.AR.SIDR*F21</f>
        <v>0</v>
      </c>
      <c r="I21" s="892">
        <f>AOIPTStudCntMDR.AR.SIDR*F21</f>
        <v>0</v>
      </c>
      <c r="AA21" s="126"/>
    </row>
    <row r="22" spans="1:27" ht="15" customHeight="1">
      <c r="A22" s="909" t="s">
        <v>615</v>
      </c>
      <c r="B22" s="269"/>
      <c r="C22" s="892">
        <f>NonAOIStudCntMDSC.ASC.SIDSC</f>
        <v>0</v>
      </c>
      <c r="D22" s="892">
        <f>AOIFTStudCntMDSC.ASC.SIDSC</f>
        <v>0</v>
      </c>
      <c r="E22" s="892">
        <f>AOIPTStudCntMDSC.ASC.SIDSC</f>
        <v>0</v>
      </c>
      <c r="F22" s="910">
        <v>5.9880000000000004</v>
      </c>
      <c r="G22" s="892">
        <f>NonAOIStudCntMDSC.ASC.SIDSC*F22</f>
        <v>0</v>
      </c>
      <c r="H22" s="892">
        <f>AOIFTStudCntMDSC.ASC.SIDSC*F22</f>
        <v>0</v>
      </c>
      <c r="I22" s="892">
        <f>AOIPTStudCntMDSC.ASC.SIDSC*F22</f>
        <v>0</v>
      </c>
      <c r="AA22" s="126"/>
    </row>
    <row r="23" spans="1:27" ht="15" customHeight="1">
      <c r="A23" s="909" t="s">
        <v>440</v>
      </c>
      <c r="B23" s="269"/>
      <c r="C23" s="892">
        <f>NonAOIStudCntMDSSI</f>
        <v>0</v>
      </c>
      <c r="D23" s="892">
        <f>AOIFTStudCntMDSSI</f>
        <v>0</v>
      </c>
      <c r="E23" s="892">
        <f>AOIPTStudCntMDSSI</f>
        <v>0</v>
      </c>
      <c r="F23" s="910">
        <v>7.9470000000000001</v>
      </c>
      <c r="G23" s="892">
        <f>NonAOIStudCntMDSSI*F23</f>
        <v>0</v>
      </c>
      <c r="H23" s="892">
        <f>AOIFTStudCntMDSSI*F23</f>
        <v>0</v>
      </c>
      <c r="I23" s="892">
        <f>AOIPTStudCntMDSSI*F23</f>
        <v>0</v>
      </c>
      <c r="AA23" s="126"/>
    </row>
    <row r="24" spans="1:27" ht="15" customHeight="1">
      <c r="A24" s="909" t="s">
        <v>441</v>
      </c>
      <c r="B24" s="269"/>
      <c r="C24" s="892">
        <f>NonAOIStudCntOIR</f>
        <v>0</v>
      </c>
      <c r="D24" s="892">
        <f>AOIFTStudCntOIR</f>
        <v>0</v>
      </c>
      <c r="E24" s="892">
        <f>AOIPTStudCntOIR</f>
        <v>0</v>
      </c>
      <c r="F24" s="910">
        <v>3.1579999999999999</v>
      </c>
      <c r="G24" s="892">
        <f>NonAOIStudCntOIR*F24</f>
        <v>0</v>
      </c>
      <c r="H24" s="892">
        <f>AOIFTStudCntOIR*F24</f>
        <v>0</v>
      </c>
      <c r="I24" s="892">
        <f>AOIPTStudCntOIR*F24</f>
        <v>0</v>
      </c>
      <c r="AA24" s="126"/>
    </row>
    <row r="25" spans="1:27" ht="15" customHeight="1">
      <c r="A25" s="909" t="s">
        <v>442</v>
      </c>
      <c r="B25" s="269"/>
      <c r="C25" s="892">
        <f>NonAOIStudCntOISC</f>
        <v>0</v>
      </c>
      <c r="D25" s="892">
        <f>AOIFTStudCntOISC</f>
        <v>0</v>
      </c>
      <c r="E25" s="892">
        <f>AOIPTStudCntOISC</f>
        <v>0</v>
      </c>
      <c r="F25" s="910">
        <v>6.7729999999999997</v>
      </c>
      <c r="G25" s="892">
        <f>NonAOIStudCntOISC*F25</f>
        <v>0</v>
      </c>
      <c r="H25" s="892">
        <f>AOIFTStudCntOISC*F25</f>
        <v>0</v>
      </c>
      <c r="I25" s="892">
        <f>AOIPTStudCntOISC*F25</f>
        <v>0</v>
      </c>
      <c r="AA25" s="126"/>
    </row>
    <row r="26" spans="1:27" ht="15" customHeight="1">
      <c r="A26" s="909" t="s">
        <v>443</v>
      </c>
      <c r="B26" s="269"/>
      <c r="C26" s="892">
        <f>NonAOIStudCntP.SD</f>
        <v>0</v>
      </c>
      <c r="D26" s="892">
        <f>AOIFTStudCntP.SD</f>
        <v>0</v>
      </c>
      <c r="E26" s="892">
        <f>AOIPTStudCntP.SD</f>
        <v>0</v>
      </c>
      <c r="F26" s="910">
        <v>3.5950000000000002</v>
      </c>
      <c r="G26" s="892">
        <f>NonAOIStudCntP.SD*F26</f>
        <v>0</v>
      </c>
      <c r="H26" s="892">
        <f>AOIFTStudCntP.SD*F26</f>
        <v>0</v>
      </c>
      <c r="I26" s="892">
        <f>AOIPTStudCntP.SD*F26</f>
        <v>0</v>
      </c>
      <c r="M26" s="97"/>
      <c r="AA26" s="97"/>
    </row>
    <row r="27" spans="1:27" ht="15" customHeight="1">
      <c r="A27" s="909" t="s">
        <v>616</v>
      </c>
      <c r="B27" s="269"/>
      <c r="C27" s="892">
        <f>NonAOIStudCntDD.ED.MIID.SLD.SLI.OHI</f>
        <v>15</v>
      </c>
      <c r="D27" s="892">
        <f>AOIFTStudCntDD.ED.MIID.SLD.SLI.OHI</f>
        <v>0</v>
      </c>
      <c r="E27" s="892">
        <f>AOIPTStudCntDD.ED.MIID.SLD.SLI.OHI</f>
        <v>0</v>
      </c>
      <c r="F27" s="893">
        <v>0.29199999999999998</v>
      </c>
      <c r="G27" s="892">
        <f>NonAOIStudCntDD.ED.MIID.SLD.SLI.OHI*F27</f>
        <v>4.38</v>
      </c>
      <c r="H27" s="892">
        <f>AOIFTStudCntDD.ED.MIID.SLD.SLI.OHI*F27</f>
        <v>0</v>
      </c>
      <c r="I27" s="892">
        <f>AOIPTStudCntDD.ED.MIID.SLD.SLI.OHI*F27</f>
        <v>0</v>
      </c>
      <c r="AA27" s="126"/>
    </row>
    <row r="28" spans="1:27" ht="15" customHeight="1">
      <c r="A28" s="909" t="s">
        <v>446</v>
      </c>
      <c r="B28" s="269"/>
      <c r="C28" s="892">
        <f>NonAOIStudCntEDP</f>
        <v>0</v>
      </c>
      <c r="D28" s="892">
        <f>AOIFTStudCntEDP</f>
        <v>0</v>
      </c>
      <c r="E28" s="892">
        <f>AOIPTStudCntEDP</f>
        <v>0</v>
      </c>
      <c r="F28" s="910">
        <v>4.8220000000000001</v>
      </c>
      <c r="G28" s="892">
        <f>NonAOIStudCntEDP*F28</f>
        <v>0</v>
      </c>
      <c r="H28" s="892">
        <f>AOIFTStudCntEDP*F28</f>
        <v>0</v>
      </c>
      <c r="I28" s="892">
        <f>AOIPTStudCntEDP*F28</f>
        <v>0</v>
      </c>
      <c r="AA28" s="126"/>
    </row>
    <row r="29" spans="1:27" ht="15" customHeight="1">
      <c r="A29" s="909" t="s">
        <v>447</v>
      </c>
      <c r="B29" s="269"/>
      <c r="C29" s="892">
        <f>NonAOIStudCntMOID</f>
        <v>0</v>
      </c>
      <c r="D29" s="892">
        <f>AOIFTStudCntMOID</f>
        <v>0</v>
      </c>
      <c r="E29" s="892">
        <f>AOIPTStudCntMOID</f>
        <v>0</v>
      </c>
      <c r="F29" s="910">
        <v>4.4210000000000003</v>
      </c>
      <c r="G29" s="892">
        <f>NonAOIStudCntMOID*F29</f>
        <v>0</v>
      </c>
      <c r="H29" s="892">
        <f>AOIFTStudCntMOID*F29</f>
        <v>0</v>
      </c>
      <c r="I29" s="892">
        <f>AOIPTStudCntMOID*F29</f>
        <v>0</v>
      </c>
      <c r="AA29" s="126"/>
    </row>
    <row r="30" spans="1:27" ht="15" customHeight="1">
      <c r="A30" s="909" t="s">
        <v>448</v>
      </c>
      <c r="B30" s="269"/>
      <c r="C30" s="892">
        <f>NonAOIStudCntVI</f>
        <v>0</v>
      </c>
      <c r="D30" s="892">
        <f>AOIFTStudCntVI</f>
        <v>0</v>
      </c>
      <c r="E30" s="892">
        <f>AOIPTStudCntVI</f>
        <v>0</v>
      </c>
      <c r="F30" s="910">
        <v>4.806</v>
      </c>
      <c r="G30" s="892">
        <f>NonAOIStudCntVI*F30</f>
        <v>0</v>
      </c>
      <c r="H30" s="892">
        <f>AOIFTStudCntVI*F30</f>
        <v>0</v>
      </c>
      <c r="I30" s="892">
        <f>AOIPTStudCntVI*F30</f>
        <v>0</v>
      </c>
      <c r="AA30" s="126"/>
    </row>
    <row r="31" spans="1:27" ht="15" customHeight="1">
      <c r="A31" s="283" t="s">
        <v>450</v>
      </c>
      <c r="C31" s="892">
        <f>NonAOIStudCntFRPL</f>
        <v>55</v>
      </c>
      <c r="D31" s="892">
        <f>AOIFTStudCntFRPL</f>
        <v>0</v>
      </c>
      <c r="E31" s="892">
        <f>AOIPTStudCntFRPL</f>
        <v>0</v>
      </c>
      <c r="F31" s="893">
        <v>2.1999999999999999E-2</v>
      </c>
      <c r="G31" s="892">
        <f>NonAOIStudCntFRPL*F31</f>
        <v>1.21</v>
      </c>
      <c r="H31" s="892">
        <f>AOIFTStudCntFRPL*F31</f>
        <v>0</v>
      </c>
      <c r="I31" s="892">
        <f>AOIPTStudCntFRPL*F31</f>
        <v>0</v>
      </c>
      <c r="AA31" s="126"/>
    </row>
    <row r="32" spans="1:27" ht="15" customHeight="1">
      <c r="A32" s="909" t="s">
        <v>449</v>
      </c>
      <c r="B32" s="269"/>
      <c r="C32" s="892">
        <f>NonAOIStudCntG</f>
        <v>0</v>
      </c>
      <c r="D32" s="892">
        <f>AOIFTStudCntG</f>
        <v>0</v>
      </c>
      <c r="E32" s="892">
        <f>AOIPTStudCntG</f>
        <v>0</v>
      </c>
      <c r="F32" s="910">
        <v>7.0000000000000001E-3</v>
      </c>
      <c r="G32" s="892">
        <f>NonAOIStudCntG*F32</f>
        <v>0</v>
      </c>
      <c r="H32" s="892">
        <f>AOIFTStudCntG*F32</f>
        <v>0</v>
      </c>
      <c r="I32" s="892">
        <f>AOIPTStudCntG*F32</f>
        <v>0</v>
      </c>
      <c r="AA32" s="126"/>
    </row>
    <row r="33" spans="1:27" ht="15" customHeight="1">
      <c r="A33" s="911" t="s">
        <v>617</v>
      </c>
      <c r="B33" s="911"/>
      <c r="C33" s="899">
        <f>SUM(C17:C32)</f>
        <v>170</v>
      </c>
      <c r="D33" s="899">
        <f>SUM(D17:D32)</f>
        <v>0</v>
      </c>
      <c r="E33" s="899">
        <f>SUM(E17:E32)</f>
        <v>0</v>
      </c>
      <c r="F33" s="912"/>
      <c r="G33" s="897"/>
      <c r="H33" s="897"/>
      <c r="I33" s="897"/>
      <c r="M33" s="97"/>
      <c r="AA33" s="97"/>
    </row>
    <row r="34" spans="1:27" ht="15" customHeight="1">
      <c r="A34" s="911" t="s">
        <v>618</v>
      </c>
      <c r="B34" s="911"/>
      <c r="C34" s="911"/>
      <c r="D34" s="913"/>
      <c r="E34" s="897">
        <f>SUM(C33:E33)</f>
        <v>170</v>
      </c>
      <c r="F34" s="914"/>
      <c r="G34" s="897"/>
      <c r="H34" s="897"/>
      <c r="I34" s="897"/>
      <c r="AA34" s="126"/>
    </row>
    <row r="35" spans="1:27" ht="15" customHeight="1">
      <c r="A35" s="911" t="s">
        <v>619</v>
      </c>
      <c r="B35" s="911"/>
      <c r="C35" s="911"/>
      <c r="D35" s="915"/>
      <c r="E35" s="914"/>
      <c r="F35" s="914"/>
      <c r="G35" s="916">
        <f>((C17*F17)+(C18*F18)+(C19*F19)+(C20*F20)+(C21*F21)+(C22*F22)+(C23*F23)+(C24*F24)+(C25*F25)+(C26*F26)+(C27*F27)+(C28*F28)+(C29*F29)+(C30*F30)+(C32*F32)+(C31*F31))</f>
        <v>10.59</v>
      </c>
      <c r="H35" s="916">
        <f>((D17*F17)+(D18*F18)+(D19*F19)+(D20*F20)+(D21*F21)+(D22*F22)+(D23*F23)+(D24*F24)+(D25*F25)+(D26*F26)+(D27*F27)+(D28*F28)+(D29*F29)+(D30*F30)+(D32*F32)+(D31*F31))</f>
        <v>0</v>
      </c>
      <c r="I35" s="916">
        <f>((E17*F17)+(E18*F18)+(E19*F19)+(E20*F20)+(E21*F21)+(E22*F22)+(E23*F23)+(E24*F24)+(E25*F25)+(E26*F26)+(E27*F27)+(E28*F28)+(E29*F29)+(E30*F30)+(E32*F32)+(E31*F31))</f>
        <v>0</v>
      </c>
      <c r="AA35" s="126"/>
    </row>
    <row r="36" spans="1:27" ht="15" customHeight="1">
      <c r="A36" s="911" t="s">
        <v>620</v>
      </c>
      <c r="B36" s="911"/>
      <c r="C36" s="911"/>
      <c r="D36" s="915"/>
      <c r="E36" s="914"/>
      <c r="F36" s="914"/>
      <c r="G36" s="897"/>
      <c r="H36" s="897"/>
      <c r="I36" s="897">
        <f>(((C17+D17+E17)*F17)+((C18+D18+E18)*F18)+((C19+D19+E19)*F19)+((C20+D20+E20)*F20)+((C21+D21+E21)*F21)+((C22+D22+E22)*F22)+((C23+D23+E23)*F23)+((C24+D24+E24)*F24)+((C25+D25+E25)*F25)+((C26+D26+E26)*F26)+((C27+D27+E27)*F27)+((C28+D28+E28)*F28)+((C29+D29+E29)*F29)+((C30+D30+E30)*F30)+((C32+D32+E32)*F32)+((C31+D31+E31)*F31))</f>
        <v>10.59</v>
      </c>
      <c r="AA36" s="126"/>
    </row>
    <row r="37" spans="1:27" ht="15" customHeight="1">
      <c r="B37" s="269"/>
      <c r="G37" s="269"/>
      <c r="H37" s="269"/>
      <c r="I37" s="269"/>
      <c r="AA37" s="126"/>
    </row>
    <row r="38" spans="1:27" ht="15" customHeight="1">
      <c r="A38" s="917"/>
      <c r="B38" s="1543"/>
      <c r="C38" s="1543"/>
      <c r="D38" s="1543"/>
      <c r="E38" s="917"/>
      <c r="F38" s="1543"/>
      <c r="G38" s="1544"/>
      <c r="H38" s="1544"/>
      <c r="I38" s="206"/>
      <c r="J38" s="1313"/>
      <c r="K38" s="1550"/>
      <c r="L38" s="1550" t="str">
        <f>CTD</f>
        <v>020364000</v>
      </c>
      <c r="AA38" s="126"/>
    </row>
    <row r="39" spans="1:27" ht="15" customHeight="1">
      <c r="A39" s="883"/>
      <c r="B39" s="883"/>
      <c r="C39" s="883"/>
      <c r="D39" s="1539" t="str">
        <f>IF(DistrictName&lt;&gt;0,DistrictName,"")</f>
        <v>Pomerene Elementary School District</v>
      </c>
      <c r="E39" s="1539"/>
      <c r="F39" s="1539"/>
      <c r="G39" s="1539"/>
      <c r="H39" s="1539"/>
      <c r="I39" s="883"/>
      <c r="J39" s="883"/>
      <c r="K39" s="883"/>
      <c r="L39" s="883"/>
      <c r="M39" s="883"/>
      <c r="AA39" s="126"/>
    </row>
    <row r="40" spans="1:27" ht="34.5" customHeight="1">
      <c r="A40" s="309"/>
      <c r="B40" s="309"/>
      <c r="C40" s="309"/>
      <c r="D40" s="1540" t="s">
        <v>596</v>
      </c>
      <c r="E40" s="1540"/>
      <c r="F40" s="1540"/>
      <c r="G40" s="1540"/>
      <c r="H40" s="1540"/>
      <c r="I40" s="309"/>
      <c r="J40" s="309"/>
      <c r="K40" s="309"/>
      <c r="L40" s="309"/>
      <c r="M40" s="309"/>
      <c r="AA40" s="126"/>
    </row>
    <row r="41" spans="1:27" ht="15" customHeight="1" thickBot="1">
      <c r="A41" s="858"/>
      <c r="B41" s="858"/>
      <c r="C41" s="858"/>
      <c r="D41" s="858"/>
      <c r="E41" s="886"/>
      <c r="F41" s="885" t="s">
        <v>597</v>
      </c>
      <c r="G41" s="886" t="str">
        <f>IF(AND(SmallIsolatedPSD8Checkbox="X",SmallIsolated912Checkbox="X"),"Elementary and High School",IF(SmallIsolatedPSD8Checkbox="X","Elementary",IF(SmallIsolated912Checkbox="X","High School","Not Isolated")))</f>
        <v>Not Isolated</v>
      </c>
      <c r="H41" s="858"/>
      <c r="I41" s="858"/>
      <c r="J41" s="858"/>
      <c r="K41" s="884"/>
      <c r="L41" s="887" t="s">
        <v>598</v>
      </c>
      <c r="M41" s="887" t="s">
        <v>621</v>
      </c>
      <c r="AA41" s="126"/>
    </row>
    <row r="42" spans="1:27" ht="15" customHeight="1">
      <c r="AA42" s="126"/>
    </row>
    <row r="43" spans="1:27" ht="21.6">
      <c r="A43" s="918" t="s">
        <v>622</v>
      </c>
      <c r="B43" s="269"/>
      <c r="C43" s="269"/>
      <c r="D43" s="1323" t="s">
        <v>623</v>
      </c>
      <c r="E43" s="269"/>
      <c r="F43" s="1323" t="s">
        <v>602</v>
      </c>
      <c r="G43" s="898"/>
      <c r="H43" s="1323" t="s">
        <v>603</v>
      </c>
      <c r="I43" s="919"/>
      <c r="J43" s="919"/>
      <c r="K43" s="919"/>
      <c r="L43" s="919"/>
      <c r="M43" s="919"/>
      <c r="N43" s="919"/>
      <c r="O43" s="919"/>
      <c r="P43" s="919"/>
      <c r="Q43" s="919"/>
      <c r="AA43" s="126"/>
    </row>
    <row r="44" spans="1:27" ht="15" customHeight="1">
      <c r="A44" s="1545" t="s">
        <v>610</v>
      </c>
      <c r="B44" s="1545"/>
      <c r="C44" s="920"/>
      <c r="D44" s="921">
        <f>NonAOIRegEdWgtdADM</f>
        <v>146.63249999999999</v>
      </c>
      <c r="E44" s="922"/>
      <c r="F44" s="921">
        <f>AOIFTRegEdWgtdADM</f>
        <v>0</v>
      </c>
      <c r="G44" s="922"/>
      <c r="H44" s="921">
        <f>AOIPTRegEdWgtdADM</f>
        <v>0</v>
      </c>
      <c r="I44" s="923"/>
      <c r="J44" s="1549"/>
      <c r="K44" s="1549"/>
      <c r="L44" s="1549"/>
      <c r="AA44" s="126"/>
    </row>
    <row r="45" spans="1:27" ht="15" customHeight="1">
      <c r="A45" s="1545" t="s">
        <v>619</v>
      </c>
      <c r="B45" s="1545"/>
      <c r="C45" s="920" t="s">
        <v>490</v>
      </c>
      <c r="D45" s="924">
        <f>NonAOIGrBAddOnWgtdADM</f>
        <v>10.59</v>
      </c>
      <c r="E45" s="922" t="s">
        <v>490</v>
      </c>
      <c r="F45" s="921">
        <f>AOIFTGrBAddOnWgtdADM</f>
        <v>0</v>
      </c>
      <c r="G45" s="922" t="s">
        <v>490</v>
      </c>
      <c r="H45" s="921">
        <f>AOIPTGrBAddOnWgtdADM</f>
        <v>0</v>
      </c>
      <c r="I45" s="923"/>
      <c r="J45" s="96"/>
      <c r="K45" s="923"/>
      <c r="L45" s="923"/>
      <c r="AA45" s="126"/>
    </row>
    <row r="46" spans="1:27" ht="15" customHeight="1">
      <c r="A46" s="925" t="s">
        <v>624</v>
      </c>
      <c r="B46" s="269"/>
      <c r="C46" s="920" t="s">
        <v>488</v>
      </c>
      <c r="D46" s="924">
        <f>((C7*F7)+(C8*F8)+(C9*F9)+C17*F17)+(C18*F18)+(C19*F19)+(C20*F20)+(C21*F21)+(C22*F22)+(C23*F23)+(C24*F24)+(C25*F25)+(C26*F26)+(C27*F27)+(C28*F28)+(C29*F29)+(C30*F30)+(C32*F32)+(C31*F31)</f>
        <v>157.2225</v>
      </c>
      <c r="E46" s="922" t="s">
        <v>488</v>
      </c>
      <c r="F46" s="921">
        <f>((D7*F7)+(D8*F8)+(D9*F9)+(D17*F17)+(D18*F18)+(D19*F19)+(D20*F20)+(D21*F21)+(D22*F22)+(D23*F23)+(D24*F24)+(D25*F25)+(D26*F26)+(D27*F27)+(D28*F28)+(D29*F29)+(D30*F30)+(D32*F32)+(D31*F31))</f>
        <v>0</v>
      </c>
      <c r="G46" s="922" t="s">
        <v>488</v>
      </c>
      <c r="H46" s="921">
        <f>((E7*F7)+(E8*F8)+(E9*F9)+(E17*F17)+(E18*F18)+(E19*F19)+(E20*F20)+(E21*F21)+(E22*F22)+(E23*F23)+(E24*F24)+(E25*F25)+(E26*F26)+(E27*F27)+(E28*F28)+(E29*F29)+(E30*F30)+(E32*F32)+(E31*F31))</f>
        <v>0</v>
      </c>
      <c r="I46" s="923"/>
      <c r="J46" s="96"/>
      <c r="K46" s="923"/>
      <c r="L46" s="923"/>
      <c r="AA46" s="126"/>
    </row>
    <row r="47" spans="1:27" ht="15" customHeight="1">
      <c r="A47" s="925" t="s">
        <v>625</v>
      </c>
      <c r="B47" s="269"/>
      <c r="C47" s="920" t="s">
        <v>489</v>
      </c>
      <c r="D47" s="924">
        <v>1</v>
      </c>
      <c r="E47" s="926" t="s">
        <v>489</v>
      </c>
      <c r="F47" s="924">
        <v>0.95</v>
      </c>
      <c r="G47" s="926" t="s">
        <v>489</v>
      </c>
      <c r="H47" s="924">
        <v>0.85</v>
      </c>
      <c r="I47" s="923"/>
      <c r="J47" s="96"/>
      <c r="K47" s="923"/>
      <c r="L47" s="923"/>
      <c r="AA47" s="126"/>
    </row>
    <row r="48" spans="1:27" ht="15" customHeight="1">
      <c r="A48" s="925" t="s">
        <v>626</v>
      </c>
      <c r="B48" s="269"/>
      <c r="C48" s="920" t="s">
        <v>488</v>
      </c>
      <c r="D48" s="924">
        <f>(((C7*F7)+(C8*F8)+(C9*F9)+C17*F17)+(C18*F18)+(C19*F19)+(C20*F20)+(C21*F21)+(C22*F22)+(C23*F23)+(C24*F24)+(C25*F25)+(C26*F26)+(C27*F27)+(C28*F28)+(C29*F29)+(C30*F30)+(C32*F32)+(C31*F31))*D47</f>
        <v>157.2225</v>
      </c>
      <c r="E48" s="926" t="s">
        <v>488</v>
      </c>
      <c r="F48" s="924">
        <f>(((D7*F7)+(D8*F8)+(D9*F9)+(D17*F17)+(D18*F18)+(D19*F19)+(D20*F20)+(D21*F21)+(D22*F22)+(D23*F23)+(D24*F24)+(D25*F25)+(D26*F26)+(D27*F27)+(D28*F28)+(D29*F29)+(D30*F30)+(D32*F32)+(D31*F31)))*F47</f>
        <v>0</v>
      </c>
      <c r="G48" s="926" t="s">
        <v>488</v>
      </c>
      <c r="H48" s="924">
        <f>(((E7*F7)+(E8*F8)+(E9*F9)+(E17*F17)+(E18*F18)+(E19*F19)+(E20*F20)+(E21*F21)+(E22*F22)+(E23*F23)+(E24*F24)+(E25*F25)+(E26*F26)+(E27*F27)+(E28*F28)+(E29*F29)+(E30*F30)+(E32*F32)+(E31*F31)))*H47</f>
        <v>0</v>
      </c>
      <c r="I48" s="923"/>
      <c r="J48" s="96"/>
      <c r="K48" s="923"/>
      <c r="L48" s="923"/>
      <c r="AA48" s="126"/>
    </row>
    <row r="49" spans="1:27" s="145" customFormat="1" ht="7.5" customHeight="1" thickBot="1">
      <c r="A49" s="927"/>
      <c r="B49" s="886"/>
      <c r="C49" s="928"/>
      <c r="D49" s="929"/>
      <c r="E49" s="930"/>
      <c r="F49" s="929"/>
      <c r="G49" s="930"/>
      <c r="H49" s="929"/>
      <c r="I49" s="931"/>
      <c r="J49" s="858"/>
      <c r="K49" s="931"/>
      <c r="L49" s="931"/>
      <c r="M49" s="932"/>
      <c r="AA49" s="933"/>
    </row>
    <row r="50" spans="1:27" s="145" customFormat="1" ht="7.5" customHeight="1">
      <c r="A50" s="925"/>
      <c r="B50" s="302"/>
      <c r="C50" s="920"/>
      <c r="D50" s="921"/>
      <c r="E50" s="926"/>
      <c r="F50" s="921"/>
      <c r="G50" s="926"/>
      <c r="H50" s="921"/>
      <c r="I50" s="923"/>
      <c r="J50" s="206"/>
      <c r="K50" s="923"/>
      <c r="L50" s="923"/>
      <c r="M50" s="933"/>
      <c r="AA50" s="933"/>
    </row>
    <row r="51" spans="1:27" ht="15" customHeight="1">
      <c r="A51" s="934" t="s">
        <v>627</v>
      </c>
      <c r="B51" s="935"/>
      <c r="C51" s="302"/>
      <c r="D51" s="670"/>
      <c r="E51" s="670"/>
      <c r="F51" s="670"/>
      <c r="G51" s="670"/>
      <c r="H51" s="936">
        <f>((C7*F7)+(C8*F8)+(C9*F9)+C17*F17)+(C18*F18)+(C19*F19)+(C20*F20)+(C21*F21)+(C22*F22)+(C23*F23)+(C24*F24)+(C25*F25)+(C26*F26)+(C27*F27)+(C28*F28)+(C29*F29)+(C30*F30)+(C32*F32)+(C31*F31)+(((D7*F7)+(D8*F8)+(D9*F9)+(D17*F17)+(D18*F18)+(D19*F19)+(D20*F20)+(D21*F21)+(D22*F22)+(D23*F23)+(D24*F24)+(D25*F25)+(D26*F26)+(D27*F27)+(D28*F28)+(D29*F29)+(D30*F30)+(D32*F32)+(D31*F31))*0.95)+(((E7*F7)+(E8*F8)+(E9*F9)+(E17*F17)+(E18*F18)+(E19*F19)+(E20*F20)+(E21*F21)+(E22*F22)+(E23*F23)+(E24*F24)+(E25*F25)+(E26*F26)+(E27*F27)+(E28*F28)+(E29*F29)+(E30*F30)+(E32*F32)+(E31*F31))*0.85)</f>
        <v>157.2225</v>
      </c>
      <c r="I51" s="96"/>
      <c r="J51" s="96"/>
      <c r="K51" s="96"/>
      <c r="L51" s="96"/>
      <c r="AA51" s="126"/>
    </row>
    <row r="52" spans="1:27" ht="15" customHeight="1" thickBot="1">
      <c r="A52" s="1302" t="s">
        <v>1239</v>
      </c>
      <c r="B52" s="935"/>
      <c r="C52" s="269"/>
      <c r="D52" s="269"/>
      <c r="E52" s="937"/>
      <c r="F52" s="937"/>
      <c r="G52" s="937" t="s">
        <v>489</v>
      </c>
      <c r="H52" s="938">
        <f>IF(Checkbox200Days="X",BaseLevelAmount*1.05,BaseLevelAmount)</f>
        <v>5215.53</v>
      </c>
      <c r="I52" s="96"/>
      <c r="J52" s="939"/>
      <c r="K52" s="96"/>
      <c r="L52" s="96"/>
      <c r="AA52" s="126"/>
    </row>
    <row r="53" spans="1:27" ht="15" customHeight="1">
      <c r="A53" s="935" t="s">
        <v>628</v>
      </c>
      <c r="B53" s="935"/>
      <c r="C53" s="269"/>
      <c r="D53" s="269"/>
      <c r="E53" s="269"/>
      <c r="F53" s="269"/>
      <c r="G53" s="269"/>
      <c r="H53" s="940">
        <f>(((C7*F7)+(C8*F8)+(C9*F9)+C17*F17)+(C18*F18)+(C19*F19)+(C20*F20)+(C21*F21)+(C22*F22)+(C23*F23)+(C24*F24)+(C25*F25)+(C26*F26)+(C27*F27)+(C28*F28)+(C29*F29)+(C30*F30)+(C32*F32)+(C31*F31)+(((D7*F7)+(D8*F8)+(D9*F9)+(D17*F17)+(D18*F18)+(D19*F19)+(D20*F20)+(D21*F21)+(D22*F22)+(D23*F23)+(D24*F24)+(D25*F25)+(D26*F26)+(D27*F27)+(D28*F28)+(D29*F29)+(D30*F30)+(D32*F32)+(D31*F31))*0.95)+(((E7*F7)+(E8*F8)+(E9*F9)+(E17*F17)+(E18*F18)+(E19*F19)+(E20*F20)+(E21*F21)+(E22*F22)+(E23*F23)+(E24*F24)+(E25*F25)+(E26*F26)+(E27*F27)+(E28*F28)+(E29*F29)+(E30*F30)+(E32*F32)+(E31*F31))*0.85))*H52</f>
        <v>819998.67</v>
      </c>
      <c r="I53" s="96"/>
      <c r="J53" s="96"/>
      <c r="K53" s="96"/>
      <c r="L53" s="96"/>
      <c r="AA53" s="126"/>
    </row>
    <row r="54" spans="1:27" ht="15" customHeight="1">
      <c r="A54" s="1548" t="s">
        <v>1240</v>
      </c>
      <c r="B54" s="1548"/>
      <c r="C54" s="893">
        <f>TEI</f>
        <v>1.0548</v>
      </c>
      <c r="D54" s="269"/>
      <c r="E54" s="269"/>
      <c r="F54" s="269"/>
      <c r="G54" s="269"/>
      <c r="H54" s="882"/>
      <c r="I54" s="96"/>
      <c r="J54" s="96"/>
      <c r="K54" s="96"/>
      <c r="L54" s="96"/>
      <c r="AA54" s="126"/>
    </row>
    <row r="55" spans="1:27" ht="15" customHeight="1" thickBot="1">
      <c r="A55" s="1302" t="s">
        <v>1241</v>
      </c>
      <c r="B55" s="935"/>
      <c r="C55" s="269"/>
      <c r="D55" s="269"/>
      <c r="E55" s="269"/>
      <c r="F55" s="269"/>
      <c r="G55" s="595" t="s">
        <v>489</v>
      </c>
      <c r="H55" s="941">
        <f>IF(TEI&gt;1,TEI,1)</f>
        <v>1.0548</v>
      </c>
      <c r="I55" s="96"/>
      <c r="J55" s="96"/>
      <c r="K55" s="96"/>
      <c r="L55" s="96"/>
      <c r="AA55" s="126"/>
    </row>
    <row r="56" spans="1:27" ht="15" customHeight="1">
      <c r="A56" s="942" t="s">
        <v>629</v>
      </c>
      <c r="B56" s="269"/>
      <c r="C56" s="943"/>
      <c r="D56" s="269"/>
      <c r="E56" s="269"/>
      <c r="F56" s="269"/>
      <c r="G56" s="269"/>
      <c r="H56" s="944"/>
      <c r="I56" s="96"/>
      <c r="J56" s="96"/>
      <c r="K56" s="96"/>
      <c r="L56" s="96"/>
      <c r="AA56" s="126"/>
    </row>
    <row r="57" spans="1:27" ht="15" customHeight="1">
      <c r="A57" s="1302" t="s">
        <v>630</v>
      </c>
      <c r="B57" s="269"/>
      <c r="C57" s="269"/>
      <c r="D57" s="269"/>
      <c r="E57" s="269"/>
      <c r="F57" s="269"/>
      <c r="G57" s="269"/>
      <c r="H57" s="940">
        <f>(((C7*F7)+(C8*F8)+(C9*F9)+C17*F17)+(C18*F18)+(C19*F19)+(C20*F20)+(C21*F21)+(C22*F22)+(C23*F23)+(C24*F24)+(C25*F25)+(C26*F26)+(C27*F27)+(C28*F28)+(C29*F29)+(C30*F30)+(C32*F32)+(C31*F31)+(((D7*F7)+(D8*F8)+(D9*F9)+(D17*F17)+(D18*F18)+(D19*F19)+(D20*F20)+(D21*F21)+(D22*F22)+(D23*F23)+(D24*F24)+(D25*F25)+(D26*F26)+(D27*F27)+(D28*F28)+(D29*F29)+(D30*F30)+(D32*F32)+(D31*F31))*0.95)+(((E7*F7)+(E8*F8)+(E9*F9)+(E17*F17)+(E18*F18)+(E19*F19)+(E20*F20)+(E21*F21)+(E22*F22)+(E23*F23)+(E24*F24)+(E25*F25)+(E26*F26)+(E27*F27)+(E28*F28)+(E29*F29)+(E30*F30)+(E32*F32)+(E31*F31))*0.85))*BSA55BLA*H55</f>
        <v>864934.59</v>
      </c>
      <c r="I57" s="96"/>
      <c r="J57" s="96"/>
      <c r="K57" s="96"/>
      <c r="L57" s="96"/>
      <c r="AA57" s="126"/>
    </row>
    <row r="58" spans="1:27" ht="15" customHeight="1">
      <c r="A58" s="1302"/>
      <c r="B58" s="269"/>
      <c r="C58" s="269"/>
      <c r="D58" s="269"/>
      <c r="E58" s="269"/>
      <c r="F58" s="269"/>
      <c r="G58" s="269"/>
      <c r="H58" s="945"/>
      <c r="I58" s="96"/>
      <c r="J58" s="96"/>
      <c r="K58" s="96"/>
      <c r="L58" s="96"/>
      <c r="AA58" s="126"/>
    </row>
    <row r="59" spans="1:27" ht="15" customHeight="1">
      <c r="A59" s="946" t="s">
        <v>631</v>
      </c>
      <c r="B59" s="269"/>
      <c r="C59" s="947"/>
      <c r="D59" s="947"/>
      <c r="E59" s="947"/>
      <c r="F59" s="947"/>
      <c r="G59" s="947"/>
      <c r="H59" s="948"/>
      <c r="I59" s="96"/>
      <c r="J59" s="96"/>
      <c r="K59" s="96"/>
      <c r="L59" s="96"/>
      <c r="AA59" s="126"/>
    </row>
    <row r="60" spans="1:27" ht="15" customHeight="1">
      <c r="A60" s="1479" t="s">
        <v>632</v>
      </c>
      <c r="B60" s="882" t="s">
        <v>490</v>
      </c>
      <c r="C60" s="949">
        <f>NonFedAuditExp</f>
        <v>11500</v>
      </c>
      <c r="D60" s="1272"/>
      <c r="E60" s="1272"/>
      <c r="F60" s="1272"/>
      <c r="G60" s="1272"/>
      <c r="H60" s="950"/>
      <c r="I60" s="951"/>
      <c r="J60" s="96"/>
      <c r="K60" s="96"/>
      <c r="L60" s="96"/>
      <c r="AA60" s="126"/>
    </row>
    <row r="61" spans="1:27" ht="15" customHeight="1">
      <c r="A61" s="269" t="s">
        <v>633</v>
      </c>
      <c r="B61" s="882" t="s">
        <v>490</v>
      </c>
      <c r="C61" s="952">
        <f>IncreaseTuitionLossAdj</f>
        <v>0</v>
      </c>
      <c r="D61" s="1272"/>
      <c r="E61" s="1272"/>
      <c r="F61" s="1272"/>
      <c r="G61" s="1272"/>
      <c r="H61" s="950"/>
      <c r="I61" s="951"/>
      <c r="J61" s="96"/>
      <c r="K61" s="96"/>
      <c r="L61" s="96"/>
      <c r="AA61" s="126"/>
    </row>
    <row r="62" spans="1:27" ht="15" customHeight="1">
      <c r="A62" s="269" t="s">
        <v>634</v>
      </c>
      <c r="B62" s="882" t="s">
        <v>490</v>
      </c>
      <c r="C62" s="952">
        <f>IF(AND(Cover!E3='Data Entry'!L127+1,(Calculations!R219+Calculations!R225)&gt;0),Calculations!R219+Calculations!R225,IF(AND(Cover!E3='Data Entry'!L127+2,(Calculations!R220+Calculations!R226)&gt;0),Calculations!R220+Calculations!R226,IF(AND(Cover!E3='Data Entry'!L127+3,(Calculations!R221+Calculations!R227)&gt;0),Calculations!R221+Calculations!R227,IF(AND(Cover!E3='Data Entry'!L127+4,(Calculations!R222+Calculations!R228)&gt;0),Calculations!R222+Calculations!R228,IF(AND(Cover!E3='Data Entry'!L127+5,(Calculations!R223+Calculations!R229)&gt;0),Calculations!R223+Calculations!R229,0)))))</f>
        <v>0</v>
      </c>
      <c r="D62" s="1272"/>
      <c r="E62" s="1272"/>
      <c r="F62" s="1272"/>
      <c r="G62" s="1272"/>
      <c r="H62" s="950"/>
      <c r="I62" s="951"/>
      <c r="J62" s="96"/>
      <c r="K62" s="96"/>
      <c r="L62" s="96"/>
      <c r="AA62" s="126"/>
    </row>
    <row r="63" spans="1:27" ht="15" customHeight="1">
      <c r="A63" s="1479" t="s">
        <v>635</v>
      </c>
      <c r="B63" s="882" t="s">
        <v>490</v>
      </c>
      <c r="C63" s="952">
        <f>RemoteInstructionDecre</f>
        <v>0</v>
      </c>
      <c r="D63" s="1272"/>
      <c r="E63" s="1272"/>
      <c r="F63" s="1272"/>
      <c r="G63" s="1272"/>
      <c r="H63" s="950"/>
      <c r="I63" s="951"/>
      <c r="J63" s="96"/>
      <c r="K63" s="96"/>
      <c r="L63" s="96"/>
      <c r="AA63" s="126"/>
    </row>
    <row r="64" spans="1:27" ht="15.6">
      <c r="A64" s="1479" t="s">
        <v>636</v>
      </c>
      <c r="B64" s="882" t="s">
        <v>490</v>
      </c>
      <c r="C64" s="949">
        <f>'Data Entry'!L88</f>
        <v>0</v>
      </c>
      <c r="D64" s="1272"/>
      <c r="E64" s="1272"/>
      <c r="F64" s="1272"/>
      <c r="G64" s="1272"/>
      <c r="H64" s="950"/>
      <c r="I64" s="951"/>
      <c r="J64" s="96"/>
      <c r="K64" s="96"/>
      <c r="L64" s="96"/>
      <c r="AA64" s="126"/>
    </row>
    <row r="65" spans="1:27" ht="15.6">
      <c r="A65" s="1479" t="s">
        <v>637</v>
      </c>
      <c r="B65" s="882" t="s">
        <v>490</v>
      </c>
      <c r="C65" s="949">
        <f>'Data Entry'!L89</f>
        <v>0</v>
      </c>
      <c r="D65" s="1272"/>
      <c r="E65" s="1272"/>
      <c r="F65" s="1272"/>
      <c r="G65" s="1272"/>
      <c r="H65" s="950"/>
      <c r="I65" s="951"/>
      <c r="J65" s="96"/>
      <c r="K65" s="96"/>
      <c r="L65" s="96"/>
      <c r="AA65" s="126"/>
    </row>
    <row r="66" spans="1:27" ht="15.6">
      <c r="A66" s="269" t="str">
        <f>IF('Data Entry'!C90&lt;&gt;"Other BSL Adjustment 1",'Data Entry'!C90,"")</f>
        <v/>
      </c>
      <c r="B66" s="882" t="str">
        <f>IF('Data Entry'!L90,"+","")</f>
        <v/>
      </c>
      <c r="C66" s="949" t="str">
        <f>IF(ISBLANK('Data Entry'!L90),"",'Data Entry'!L90)</f>
        <v/>
      </c>
      <c r="D66" s="1272"/>
      <c r="E66" s="1272"/>
      <c r="F66" s="1272"/>
      <c r="G66" s="1272"/>
      <c r="H66" s="950"/>
      <c r="I66" s="951"/>
      <c r="J66" s="96"/>
      <c r="K66" s="96"/>
      <c r="L66" s="96"/>
      <c r="AA66" s="126"/>
    </row>
    <row r="67" spans="1:27" ht="15.6">
      <c r="A67" s="269" t="str">
        <f>IF('Data Entry'!C91&lt;&gt;"Other BSL Adjustment 2",'Data Entry'!C91,"")</f>
        <v/>
      </c>
      <c r="B67" s="882" t="str">
        <f>IF('Data Entry'!L91,"+","")</f>
        <v/>
      </c>
      <c r="C67" s="949" t="str">
        <f>IF(ISBLANK('Data Entry'!L91),"",'Data Entry'!L91)</f>
        <v/>
      </c>
      <c r="D67" s="1272"/>
      <c r="E67" s="1272"/>
      <c r="F67" s="1272"/>
      <c r="G67" s="1272"/>
      <c r="H67" s="950"/>
      <c r="I67" s="951"/>
      <c r="J67" s="96"/>
      <c r="K67" s="96"/>
      <c r="L67" s="96"/>
      <c r="AA67" s="126"/>
    </row>
    <row r="68" spans="1:27" ht="15" customHeight="1">
      <c r="A68" s="644" t="s">
        <v>638</v>
      </c>
      <c r="B68" s="269"/>
      <c r="C68" s="269"/>
      <c r="D68" s="269"/>
      <c r="E68" s="269"/>
      <c r="F68" s="269"/>
      <c r="G68" s="269"/>
      <c r="H68" s="953">
        <f>SUM(C60:C67)</f>
        <v>11500</v>
      </c>
      <c r="I68" s="954"/>
      <c r="J68" s="96"/>
      <c r="K68" s="96"/>
      <c r="L68" s="96"/>
      <c r="AA68" s="126"/>
    </row>
    <row r="69" spans="1:27" ht="15" customHeight="1">
      <c r="A69" s="955" t="s">
        <v>639</v>
      </c>
      <c r="B69" s="269"/>
      <c r="C69" s="955"/>
      <c r="D69" s="955"/>
      <c r="E69" s="955"/>
      <c r="F69" s="955"/>
      <c r="G69" s="955"/>
      <c r="H69" s="956">
        <f>H68+H57</f>
        <v>876434.59</v>
      </c>
      <c r="I69" s="957"/>
      <c r="J69" s="96"/>
      <c r="K69" s="96"/>
      <c r="L69" s="96"/>
      <c r="AA69" s="126"/>
    </row>
    <row r="70" spans="1:27" ht="15" customHeight="1">
      <c r="AA70" s="126"/>
    </row>
    <row r="71" spans="1:27" ht="15" customHeight="1">
      <c r="AA71" s="126"/>
    </row>
    <row r="72" spans="1:27" ht="15" customHeight="1">
      <c r="AA72" s="126"/>
    </row>
    <row r="73" spans="1:27" ht="15" customHeight="1">
      <c r="A73" s="883"/>
      <c r="B73" s="883"/>
      <c r="C73" s="883"/>
      <c r="D73" s="1539" t="str">
        <f>IF(DistrictName&lt;&gt;0,DistrictName,"")</f>
        <v>Pomerene Elementary School District</v>
      </c>
      <c r="E73" s="1539"/>
      <c r="F73" s="1539"/>
      <c r="G73" s="1539"/>
      <c r="H73" s="1539"/>
      <c r="I73" s="883"/>
      <c r="J73" s="883"/>
      <c r="K73" s="883"/>
      <c r="L73" s="883"/>
      <c r="M73" s="883"/>
      <c r="AA73" s="126"/>
    </row>
    <row r="74" spans="1:27" ht="34.5" customHeight="1">
      <c r="A74" s="309"/>
      <c r="B74" s="309"/>
      <c r="C74" s="309"/>
      <c r="D74" s="1540" t="s">
        <v>596</v>
      </c>
      <c r="E74" s="1540"/>
      <c r="F74" s="1540"/>
      <c r="G74" s="1540"/>
      <c r="H74" s="1540"/>
      <c r="I74" s="309"/>
      <c r="J74" s="309"/>
      <c r="K74" s="309"/>
      <c r="L74" s="309"/>
      <c r="M74" s="309"/>
      <c r="AA74" s="97"/>
    </row>
    <row r="75" spans="1:27" ht="15" customHeight="1" thickBot="1">
      <c r="A75" s="886"/>
      <c r="B75" s="886"/>
      <c r="C75" s="886"/>
      <c r="D75" s="886"/>
      <c r="E75" s="886"/>
      <c r="F75" s="885" t="s">
        <v>597</v>
      </c>
      <c r="G75" s="886" t="str">
        <f>IF(AND(SmallIsolatedPSD8Checkbox="X",SmallIsolated912Checkbox="X"),"Elementary and High School",IF(SmallIsolatedPSD8Checkbox="X","Elementary",IF(SmallIsolated912Checkbox="X","High School","Not Isolated")))</f>
        <v>Not Isolated</v>
      </c>
      <c r="H75" s="886"/>
      <c r="I75" s="886"/>
      <c r="J75" s="886"/>
      <c r="K75" s="886"/>
      <c r="L75" s="887" t="s">
        <v>598</v>
      </c>
      <c r="M75" s="887" t="s">
        <v>640</v>
      </c>
      <c r="AA75" s="126"/>
    </row>
    <row r="76" spans="1:27" ht="15" customHeight="1">
      <c r="A76" s="269"/>
      <c r="B76" s="269"/>
      <c r="C76" s="269"/>
      <c r="D76" s="269"/>
      <c r="E76" s="958"/>
      <c r="F76" s="959"/>
      <c r="G76" s="269"/>
      <c r="H76" s="269"/>
      <c r="I76" s="269"/>
      <c r="J76" s="269"/>
      <c r="K76" s="269"/>
      <c r="L76" s="269"/>
      <c r="M76" s="960"/>
      <c r="AA76" s="126"/>
    </row>
    <row r="77" spans="1:27" ht="15" customHeight="1">
      <c r="A77" s="961" t="s">
        <v>641</v>
      </c>
      <c r="B77" s="962"/>
      <c r="C77" s="963"/>
      <c r="D77" s="269"/>
      <c r="E77" s="964"/>
      <c r="F77" s="965" t="s">
        <v>642</v>
      </c>
      <c r="G77" s="269"/>
      <c r="H77" s="269"/>
      <c r="I77" s="269"/>
      <c r="J77" s="269"/>
      <c r="K77" s="269"/>
      <c r="L77" s="269"/>
      <c r="M77" s="960"/>
      <c r="AA77" s="126"/>
    </row>
    <row r="78" spans="1:27" ht="15" customHeight="1">
      <c r="A78" s="1546" t="s">
        <v>643</v>
      </c>
      <c r="B78" s="1546"/>
      <c r="C78" s="963"/>
      <c r="D78" s="269"/>
      <c r="E78" s="964"/>
      <c r="F78" s="1203" t="s">
        <v>1247</v>
      </c>
      <c r="G78" s="269"/>
      <c r="H78" s="269"/>
      <c r="I78" s="269"/>
      <c r="J78" s="966">
        <f>AdjBaseSuppLvl</f>
        <v>876434.59</v>
      </c>
      <c r="K78" s="269"/>
      <c r="L78" s="269"/>
      <c r="M78" s="960"/>
      <c r="AA78" s="126"/>
    </row>
    <row r="79" spans="1:27" ht="15" customHeight="1">
      <c r="A79" s="967" t="s">
        <v>644</v>
      </c>
      <c r="B79" s="967"/>
      <c r="C79" s="269"/>
      <c r="D79" s="269"/>
      <c r="E79" s="968"/>
      <c r="F79" s="1203" t="s">
        <v>1248</v>
      </c>
      <c r="G79" s="269"/>
      <c r="H79" s="269"/>
      <c r="I79" s="595" t="s">
        <v>490</v>
      </c>
      <c r="J79" s="969">
        <f>ConsolUnifTransCosts</f>
        <v>0</v>
      </c>
      <c r="K79" s="269"/>
      <c r="L79" s="269"/>
      <c r="M79" s="960"/>
      <c r="AA79" s="97"/>
    </row>
    <row r="80" spans="1:27" ht="15" customHeight="1" thickBot="1">
      <c r="A80" s="967" t="s">
        <v>1242</v>
      </c>
      <c r="B80" s="967"/>
      <c r="C80" s="269"/>
      <c r="D80" s="269"/>
      <c r="E80" s="970">
        <f>EligibleStudTrans</f>
        <v>45.38</v>
      </c>
      <c r="F80" s="1203" t="s">
        <v>1246</v>
      </c>
      <c r="G80" s="269"/>
      <c r="H80" s="269"/>
      <c r="I80" s="595" t="s">
        <v>490</v>
      </c>
      <c r="J80" s="971">
        <f>TSL</f>
        <v>54121.64</v>
      </c>
      <c r="K80" s="269"/>
      <c r="L80" s="269"/>
      <c r="M80" s="269"/>
      <c r="AA80" s="126"/>
    </row>
    <row r="81" spans="1:27" ht="15" customHeight="1">
      <c r="A81" s="967" t="s">
        <v>1243</v>
      </c>
      <c r="B81" s="967"/>
      <c r="C81" s="269"/>
      <c r="D81" s="269"/>
      <c r="E81" s="972">
        <f>IF(ApprDRMiles&gt;0,ApprDRMiles/EligibleStudTrans,0)</f>
        <v>1.829</v>
      </c>
      <c r="F81" s="1204" t="s">
        <v>1249</v>
      </c>
      <c r="G81" s="302"/>
      <c r="H81" s="302"/>
      <c r="I81" s="302"/>
      <c r="J81" s="973">
        <f>SUM(J78:J80)</f>
        <v>930556.23</v>
      </c>
      <c r="K81" s="302"/>
      <c r="L81" s="302"/>
      <c r="M81" s="974"/>
      <c r="AA81" s="126"/>
    </row>
    <row r="82" spans="1:27" ht="15" customHeight="1" thickBot="1">
      <c r="A82" s="967" t="s">
        <v>645</v>
      </c>
      <c r="B82" s="967"/>
      <c r="C82" s="269"/>
      <c r="D82" s="975"/>
      <c r="E82" s="976">
        <f>ApprDRMiles</f>
        <v>83</v>
      </c>
      <c r="F82" s="1205"/>
      <c r="G82" s="886"/>
      <c r="H82" s="886"/>
      <c r="I82" s="886"/>
      <c r="J82" s="886"/>
      <c r="K82" s="886"/>
      <c r="L82" s="886"/>
      <c r="M82" s="977"/>
      <c r="AA82" s="126"/>
    </row>
    <row r="83" spans="1:27" ht="15" customHeight="1">
      <c r="A83" s="967" t="s">
        <v>646</v>
      </c>
      <c r="B83" s="967"/>
      <c r="C83" s="269"/>
      <c r="D83" s="595" t="s">
        <v>489</v>
      </c>
      <c r="E83" s="978">
        <f>IF(DailyRteMilesPerElgStud=0,0,IF(AND(DailyRteMilesPerElgStud&gt;0.5,DailyRteMilesPerElgStud&lt;=1),StateSupportLevelRouteMile2,StateSupportLevelRouteMile1))</f>
        <v>3.07</v>
      </c>
      <c r="AA83" s="126"/>
    </row>
    <row r="84" spans="1:27" ht="15" customHeight="1" thickBot="1">
      <c r="A84" s="967" t="s">
        <v>647</v>
      </c>
      <c r="B84" s="967"/>
      <c r="C84" s="269"/>
      <c r="D84" s="595" t="s">
        <v>489</v>
      </c>
      <c r="E84" s="979">
        <f>IF(Checkbox200Days="X",200,180)</f>
        <v>180</v>
      </c>
      <c r="F84" s="965" t="s">
        <v>648</v>
      </c>
      <c r="G84" s="269"/>
      <c r="H84" s="269"/>
      <c r="I84" s="269"/>
      <c r="J84" s="269"/>
      <c r="K84" s="269"/>
      <c r="L84" s="269"/>
      <c r="M84" s="960"/>
      <c r="AA84" s="126"/>
    </row>
    <row r="85" spans="1:27" ht="15" customHeight="1">
      <c r="A85" s="967" t="s">
        <v>649</v>
      </c>
      <c r="B85" s="967"/>
      <c r="C85" s="269"/>
      <c r="D85" s="595"/>
      <c r="E85" s="978">
        <f>E82*E83*E84</f>
        <v>45865.8</v>
      </c>
      <c r="F85" s="1203" t="s">
        <v>1247</v>
      </c>
      <c r="G85" s="269"/>
      <c r="H85" s="269"/>
      <c r="I85" s="269"/>
      <c r="J85" s="966">
        <f>AdjBaseSuppLvl</f>
        <v>876434.59</v>
      </c>
      <c r="K85" s="269"/>
      <c r="L85" s="269"/>
      <c r="M85" s="960"/>
      <c r="AA85" s="126"/>
    </row>
    <row r="86" spans="1:27" ht="15" customHeight="1" thickBot="1">
      <c r="A86" s="1480" t="s">
        <v>958</v>
      </c>
      <c r="B86" s="967"/>
      <c r="C86" s="269"/>
      <c r="D86" s="595" t="s">
        <v>489</v>
      </c>
      <c r="E86" s="980">
        <f>IF(VALUE(LEFT(RIGHT(L1,7),2))=3,Type03TranspFactor,IF(VALUE(LEFT(RIGHT(L1,7),2))=2,Type02TranspFactor,IF(VALUE(LEFT(RIGHT(L1,7),2))=4,Type04TranspFactor,IF(VALUE(LEFT(RIGHT(L1,7),2))=5,Type05TranspFactor,IF(VALUE(LEFT(RIGHT(L1,7),2))=1,Type01TranspFactor,0)))))</f>
        <v>0.18</v>
      </c>
      <c r="F86" s="1203" t="s">
        <v>1248</v>
      </c>
      <c r="G86" s="269"/>
      <c r="H86" s="269"/>
      <c r="I86" s="595" t="s">
        <v>490</v>
      </c>
      <c r="J86" s="969">
        <f>ConsolUnifTransCosts</f>
        <v>0</v>
      </c>
      <c r="K86" s="269"/>
      <c r="L86" s="269"/>
      <c r="M86" s="960"/>
      <c r="AA86" s="126"/>
    </row>
    <row r="87" spans="1:27" ht="15" customHeight="1" thickBot="1">
      <c r="A87" s="981" t="s">
        <v>650</v>
      </c>
      <c r="B87" s="967"/>
      <c r="C87" s="269"/>
      <c r="D87" s="595"/>
      <c r="E87" s="978">
        <f>ROUND((E84*E82)*E83*E86,2)</f>
        <v>8255.84</v>
      </c>
      <c r="F87" s="1203" t="s">
        <v>1250</v>
      </c>
      <c r="G87" s="269"/>
      <c r="H87" s="269"/>
      <c r="I87" s="595" t="s">
        <v>490</v>
      </c>
      <c r="J87" s="971">
        <f>CYTRCL</f>
        <v>72955.149999999994</v>
      </c>
      <c r="K87" s="269"/>
      <c r="L87" s="269"/>
      <c r="M87" s="960"/>
      <c r="AA87" s="126"/>
    </row>
    <row r="88" spans="1:27" ht="15" customHeight="1">
      <c r="A88" s="967" t="s">
        <v>1244</v>
      </c>
      <c r="B88" s="967"/>
      <c r="C88" s="269"/>
      <c r="D88" s="595"/>
      <c r="E88" s="970">
        <f>ActDisabilityRM+EstDisabilityRM</f>
        <v>0</v>
      </c>
      <c r="F88" s="1204" t="s">
        <v>1251</v>
      </c>
      <c r="G88" s="269"/>
      <c r="H88" s="269"/>
      <c r="I88" s="269"/>
      <c r="J88" s="953">
        <f>SUM(J85:J87)</f>
        <v>949389.74</v>
      </c>
      <c r="K88" s="269"/>
      <c r="L88" s="269"/>
      <c r="M88" s="960"/>
      <c r="AA88" s="126"/>
    </row>
    <row r="89" spans="1:27" ht="15" customHeight="1" thickBot="1">
      <c r="A89" s="967" t="s">
        <v>646</v>
      </c>
      <c r="B89" s="967"/>
      <c r="C89" s="269"/>
      <c r="D89" s="595" t="s">
        <v>489</v>
      </c>
      <c r="E89" s="980">
        <f>E83</f>
        <v>3.07</v>
      </c>
      <c r="F89" s="1205"/>
      <c r="G89" s="886"/>
      <c r="H89" s="886"/>
      <c r="I89" s="886"/>
      <c r="J89" s="886"/>
      <c r="K89" s="269"/>
      <c r="L89" s="269"/>
      <c r="M89" s="960"/>
      <c r="AA89" s="126"/>
    </row>
    <row r="90" spans="1:27" ht="15" customHeight="1" thickBot="1">
      <c r="A90" s="967" t="s">
        <v>651</v>
      </c>
      <c r="B90" s="269"/>
      <c r="C90" s="269"/>
      <c r="D90" s="269"/>
      <c r="E90" s="978">
        <f>ROUND(E88*E89,2)</f>
        <v>0</v>
      </c>
      <c r="F90" s="1206" t="s">
        <v>1252</v>
      </c>
      <c r="G90" s="982"/>
      <c r="H90" s="982"/>
      <c r="I90" s="983"/>
      <c r="J90" s="984">
        <f>IF(J81&gt;J88,J88,J81)</f>
        <v>930556.23</v>
      </c>
      <c r="K90" s="302"/>
      <c r="L90" s="269"/>
      <c r="M90" s="960"/>
      <c r="AA90" s="126"/>
    </row>
    <row r="91" spans="1:27" ht="15" customHeight="1">
      <c r="A91" s="269" t="s">
        <v>652</v>
      </c>
      <c r="B91" s="269"/>
      <c r="C91" s="283" t="s">
        <v>653</v>
      </c>
      <c r="D91" s="283" t="s">
        <v>654</v>
      </c>
      <c r="E91" s="985"/>
      <c r="AA91" s="126"/>
    </row>
    <row r="92" spans="1:27" ht="15" customHeight="1">
      <c r="A92" s="269" t="s">
        <v>1245</v>
      </c>
      <c r="B92" s="269"/>
      <c r="C92" s="986">
        <f>AnnualExpforBusPass</f>
        <v>0</v>
      </c>
      <c r="D92" s="986">
        <f>AnnualExpforBusToken</f>
        <v>0</v>
      </c>
      <c r="E92" s="987">
        <f>C92+D92</f>
        <v>0</v>
      </c>
      <c r="AA92" s="126"/>
    </row>
    <row r="93" spans="1:27" ht="15" customHeight="1">
      <c r="A93" s="1302" t="s">
        <v>1246</v>
      </c>
      <c r="B93" s="269"/>
      <c r="C93" s="269"/>
      <c r="D93" s="269"/>
      <c r="E93" s="978">
        <f>E85+E87+E90+E92</f>
        <v>54121.64</v>
      </c>
      <c r="F93" s="988"/>
      <c r="G93" s="269"/>
      <c r="H93" s="269"/>
      <c r="I93" s="269"/>
      <c r="J93" s="269"/>
      <c r="K93" s="269"/>
      <c r="L93" s="269"/>
      <c r="M93" s="960"/>
      <c r="AA93" s="126"/>
    </row>
    <row r="94" spans="1:27" ht="15" customHeight="1" thickBot="1">
      <c r="A94" s="989"/>
      <c r="B94" s="886"/>
      <c r="C94" s="886"/>
      <c r="D94" s="886"/>
      <c r="E94" s="990"/>
      <c r="F94" s="988"/>
      <c r="G94" s="269"/>
      <c r="H94" s="269"/>
      <c r="I94" s="269"/>
      <c r="J94" s="269"/>
      <c r="K94" s="269"/>
      <c r="L94" s="269"/>
      <c r="M94" s="960"/>
      <c r="AA94" s="126"/>
    </row>
    <row r="95" spans="1:27" ht="15" customHeight="1">
      <c r="A95" s="269"/>
      <c r="B95" s="269"/>
      <c r="C95" s="269"/>
      <c r="D95" s="269"/>
      <c r="E95" s="991"/>
      <c r="F95" s="988"/>
      <c r="G95" s="302"/>
      <c r="H95" s="269"/>
      <c r="I95" s="269"/>
      <c r="J95" s="269"/>
      <c r="K95" s="269"/>
      <c r="L95" s="269"/>
      <c r="M95" s="960"/>
      <c r="AA95" s="126"/>
    </row>
    <row r="96" spans="1:27" ht="15" customHeight="1">
      <c r="A96" s="961" t="s">
        <v>655</v>
      </c>
      <c r="B96" s="302"/>
      <c r="C96" s="302"/>
      <c r="D96" s="302"/>
      <c r="E96" s="968"/>
      <c r="F96" s="988"/>
      <c r="G96" s="269"/>
      <c r="H96" s="269"/>
      <c r="I96" s="269"/>
      <c r="J96" s="269"/>
      <c r="K96" s="269"/>
      <c r="L96" s="269"/>
      <c r="M96" s="960"/>
      <c r="AA96" s="126"/>
    </row>
    <row r="97" spans="1:27" ht="15" customHeight="1">
      <c r="A97" s="269" t="s">
        <v>1253</v>
      </c>
      <c r="B97" s="269"/>
      <c r="C97" s="269"/>
      <c r="D97" s="595"/>
      <c r="E97" s="992">
        <f t="array" ref="E97">[1]!CYTRCL</f>
        <v>72955.149999999994</v>
      </c>
      <c r="F97" s="988"/>
      <c r="G97" s="269"/>
      <c r="H97" s="269"/>
      <c r="I97" s="269"/>
      <c r="J97" s="269"/>
      <c r="K97" s="269"/>
      <c r="L97" s="269"/>
      <c r="M97" s="960"/>
      <c r="AA97" s="126"/>
    </row>
    <row r="98" spans="1:27" ht="15" customHeight="1">
      <c r="A98" s="993"/>
      <c r="B98" s="993"/>
      <c r="C98" s="993"/>
      <c r="D98" s="993"/>
      <c r="E98" s="968"/>
      <c r="F98" s="988"/>
      <c r="G98" s="269"/>
      <c r="H98" s="269"/>
      <c r="I98" s="269"/>
      <c r="J98" s="269"/>
      <c r="K98" s="269"/>
      <c r="L98" s="269"/>
      <c r="M98" s="960"/>
      <c r="AA98" s="126"/>
    </row>
    <row r="99" spans="1:27" ht="15" customHeight="1">
      <c r="A99" s="1210" t="s">
        <v>656</v>
      </c>
      <c r="B99" s="269" t="s">
        <v>1254</v>
      </c>
      <c r="C99" s="994">
        <f>TSL</f>
        <v>54121.64</v>
      </c>
      <c r="D99" s="269"/>
      <c r="E99" s="968"/>
      <c r="F99" s="988"/>
      <c r="G99" s="269"/>
      <c r="H99" s="269"/>
      <c r="I99" s="269"/>
      <c r="J99" s="269"/>
      <c r="K99" s="269"/>
      <c r="L99" s="269"/>
      <c r="M99" s="960"/>
      <c r="AA99" s="126"/>
    </row>
    <row r="100" spans="1:27" ht="15" customHeight="1" thickBot="1">
      <c r="A100" s="269"/>
      <c r="B100" s="269" t="s">
        <v>1255</v>
      </c>
      <c r="C100" s="995">
        <f t="array" ref="C100">[1]!TSL</f>
        <v>35802.14</v>
      </c>
      <c r="D100" s="269"/>
      <c r="E100" s="968"/>
      <c r="F100" s="988"/>
      <c r="G100" s="269"/>
      <c r="H100" s="269"/>
      <c r="I100" s="269"/>
      <c r="J100" s="269"/>
      <c r="K100" s="269"/>
      <c r="L100" s="269"/>
      <c r="M100" s="960"/>
      <c r="AA100" s="126"/>
    </row>
    <row r="101" spans="1:27" ht="15" customHeight="1" thickBot="1">
      <c r="A101" s="269"/>
      <c r="B101" s="269" t="s">
        <v>657</v>
      </c>
      <c r="C101" s="996">
        <f>IF(C99-C100&gt;0,C99-C100,0)</f>
        <v>18319.5</v>
      </c>
      <c r="D101" s="269"/>
      <c r="E101" s="968"/>
      <c r="F101" s="988"/>
      <c r="G101" s="269"/>
      <c r="H101" s="269"/>
      <c r="I101" s="269"/>
      <c r="J101" s="269"/>
      <c r="K101" s="269"/>
      <c r="L101" s="269"/>
      <c r="M101" s="960"/>
      <c r="AA101" s="126"/>
    </row>
    <row r="102" spans="1:27" ht="15" customHeight="1">
      <c r="A102" s="269"/>
      <c r="B102" s="269"/>
      <c r="C102" s="269"/>
      <c r="D102" s="269"/>
      <c r="E102" s="968"/>
      <c r="F102" s="988"/>
      <c r="G102" s="269"/>
      <c r="H102" s="269"/>
      <c r="I102" s="269"/>
      <c r="J102" s="269"/>
      <c r="K102" s="269"/>
      <c r="L102" s="269"/>
      <c r="M102" s="960"/>
      <c r="AA102" s="126"/>
    </row>
    <row r="103" spans="1:27" ht="15" customHeight="1">
      <c r="A103" s="269" t="s">
        <v>1256</v>
      </c>
      <c r="B103" s="269"/>
      <c r="C103" s="269"/>
      <c r="D103" s="595"/>
      <c r="E103" s="992">
        <f>C101+E97</f>
        <v>91274.65</v>
      </c>
      <c r="F103" s="988"/>
      <c r="G103" s="269"/>
      <c r="H103" s="269"/>
      <c r="I103" s="269"/>
      <c r="J103" s="269"/>
      <c r="K103" s="269"/>
      <c r="L103" s="269"/>
      <c r="M103" s="960"/>
      <c r="AA103" s="126"/>
    </row>
    <row r="104" spans="1:27" ht="15" customHeight="1">
      <c r="A104" s="1210" t="s">
        <v>1257</v>
      </c>
      <c r="B104" s="595"/>
      <c r="C104" s="994">
        <f>E93*1.2</f>
        <v>64945.97</v>
      </c>
      <c r="D104" s="269"/>
      <c r="E104" s="968"/>
      <c r="F104" s="988"/>
      <c r="G104" s="269"/>
      <c r="H104" s="269"/>
      <c r="I104" s="269"/>
      <c r="J104" s="269"/>
      <c r="K104" s="269"/>
      <c r="L104" s="269"/>
      <c r="M104" s="960"/>
      <c r="AA104" s="126"/>
    </row>
    <row r="105" spans="1:27" ht="15" customHeight="1">
      <c r="A105" s="644" t="s">
        <v>1250</v>
      </c>
      <c r="B105" s="269"/>
      <c r="C105" s="269"/>
      <c r="D105" s="595"/>
      <c r="E105" s="997">
        <f>MAX(TSL,IF(PremFYTRCL&gt;AdjFYTRCL,TRCLBudgPY,PremFYTRCL))</f>
        <v>72955.149999999994</v>
      </c>
      <c r="F105" s="988"/>
      <c r="G105" s="269"/>
      <c r="H105" s="269"/>
      <c r="I105" s="269"/>
      <c r="J105" s="269"/>
      <c r="K105" s="269"/>
      <c r="L105" s="269"/>
      <c r="M105" s="960"/>
      <c r="AA105" s="126"/>
    </row>
    <row r="106" spans="1:27" ht="15" customHeight="1">
      <c r="A106" s="269"/>
      <c r="B106" s="269"/>
      <c r="C106" s="269"/>
      <c r="D106" s="269"/>
      <c r="E106" s="269"/>
      <c r="F106" s="269"/>
      <c r="G106" s="269"/>
      <c r="H106" s="269"/>
      <c r="I106" s="269"/>
      <c r="J106" s="269"/>
      <c r="K106" s="269"/>
      <c r="L106" s="269"/>
      <c r="M106" s="960"/>
      <c r="AA106" s="126"/>
    </row>
    <row r="107" spans="1:27" ht="15" customHeight="1">
      <c r="M107" s="97"/>
      <c r="AA107" s="126"/>
    </row>
    <row r="108" spans="1:27" ht="15" customHeight="1">
      <c r="A108" s="310"/>
      <c r="B108" s="310"/>
      <c r="C108" s="310"/>
      <c r="D108" s="1539" t="str">
        <f>IF(DistrictName&lt;&gt;0,DistrictName,"")</f>
        <v>Pomerene Elementary School District</v>
      </c>
      <c r="E108" s="1539"/>
      <c r="F108" s="1539"/>
      <c r="G108" s="1539"/>
      <c r="H108" s="1539"/>
      <c r="I108" s="310"/>
      <c r="J108" s="310"/>
      <c r="K108" s="310"/>
      <c r="L108" s="310"/>
      <c r="M108" s="310"/>
      <c r="AA108" s="126"/>
    </row>
    <row r="109" spans="1:27" ht="34.5" customHeight="1">
      <c r="A109" s="309"/>
      <c r="B109" s="309"/>
      <c r="C109" s="309"/>
      <c r="D109" s="1540" t="s">
        <v>596</v>
      </c>
      <c r="E109" s="1540"/>
      <c r="F109" s="1540"/>
      <c r="G109" s="1540"/>
      <c r="H109" s="1540"/>
      <c r="I109" s="309"/>
      <c r="J109" s="309"/>
      <c r="K109" s="309"/>
      <c r="L109" s="309"/>
      <c r="M109" s="309"/>
      <c r="AA109" s="126"/>
    </row>
    <row r="110" spans="1:27" ht="15" customHeight="1" thickBot="1">
      <c r="A110" s="886"/>
      <c r="B110" s="886"/>
      <c r="C110" s="886"/>
      <c r="D110" s="886"/>
      <c r="E110" s="886"/>
      <c r="F110" s="885" t="s">
        <v>597</v>
      </c>
      <c r="G110" s="886" t="str">
        <f>IF(AND(SmallIsolatedPSD8Checkbox="X",SmallIsolated912Checkbox="X"),"Elementary and High School",IF(SmallIsolatedPSD8Checkbox="X","Elementary",IF(SmallIsolated912Checkbox="X","High School","Not Isolated")))</f>
        <v>Not Isolated</v>
      </c>
      <c r="H110" s="886"/>
      <c r="I110" s="886"/>
      <c r="J110" s="886"/>
      <c r="K110" s="886"/>
      <c r="L110" s="887" t="s">
        <v>598</v>
      </c>
      <c r="M110" s="887" t="s">
        <v>658</v>
      </c>
      <c r="AA110" s="97"/>
    </row>
    <row r="111" spans="1:27" ht="15" customHeight="1">
      <c r="A111" s="269"/>
      <c r="B111" s="269"/>
      <c r="C111" s="269"/>
      <c r="D111" s="269"/>
      <c r="E111" s="269"/>
      <c r="F111" s="269"/>
      <c r="G111" s="269"/>
      <c r="H111" s="269"/>
      <c r="I111" s="269"/>
      <c r="J111" s="269"/>
      <c r="K111" s="269"/>
      <c r="L111" s="269"/>
      <c r="M111" s="960"/>
      <c r="AA111" s="126"/>
    </row>
    <row r="112" spans="1:27" ht="20.399999999999999">
      <c r="A112" s="998" t="s">
        <v>659</v>
      </c>
      <c r="B112" s="999"/>
      <c r="C112" s="999"/>
      <c r="D112" s="999"/>
      <c r="E112" s="1000" t="s">
        <v>428</v>
      </c>
      <c r="F112" s="1001"/>
      <c r="G112" s="1000" t="s">
        <v>429</v>
      </c>
      <c r="H112" s="1001"/>
      <c r="I112" s="1002" t="s">
        <v>430</v>
      </c>
      <c r="J112" s="1001"/>
      <c r="K112" s="1003" t="s">
        <v>660</v>
      </c>
      <c r="L112" s="1004"/>
      <c r="M112" s="1000" t="s">
        <v>359</v>
      </c>
      <c r="O112" s="96"/>
      <c r="AA112" s="126"/>
    </row>
    <row r="113" spans="1:27" ht="15" customHeight="1">
      <c r="A113" s="269" t="s">
        <v>1258</v>
      </c>
      <c r="B113" s="269"/>
      <c r="C113" s="269"/>
      <c r="D113" s="269"/>
      <c r="E113" s="895">
        <f>UnweightedStudCntPSDPY</f>
        <v>1</v>
      </c>
      <c r="F113" s="1005"/>
      <c r="G113" s="895">
        <f>UnweightedStudCntK8PY</f>
        <v>108.91030000000001</v>
      </c>
      <c r="H113" s="1006"/>
      <c r="I113" s="895">
        <f>UnweightedStudCnt912PY</f>
        <v>0</v>
      </c>
      <c r="J113" s="1006"/>
      <c r="K113" s="921">
        <f>IF(VALUE(LEFT(RIGHT(L1,7),2))=3,(HSCountDORtoDOA),0)</f>
        <v>0</v>
      </c>
      <c r="L113" s="1007"/>
      <c r="M113" s="1008"/>
      <c r="O113" s="96"/>
      <c r="AA113" s="126"/>
    </row>
    <row r="114" spans="1:27" ht="15" customHeight="1" thickBot="1">
      <c r="A114" s="269" t="s">
        <v>661</v>
      </c>
      <c r="B114" s="269"/>
      <c r="C114" s="269"/>
      <c r="D114" s="595" t="s">
        <v>489</v>
      </c>
      <c r="E114" s="1009">
        <f>IF(E113=0,0,Calculations!L77)</f>
        <v>549.45000000000005</v>
      </c>
      <c r="F114" s="595" t="s">
        <v>489</v>
      </c>
      <c r="G114" s="995">
        <f>IF(VALUE(LEFT(RIGHT(L1,7),2))=8,0,IF(AND(UnweightedStudCntK8PY&gt;0,UnweightedStudCntK8PY&lt;100),Calculations!L52,IF(AND(Calculations!L56&gt;0),Calculations!L63,IF(AND(Calculations!L67&gt;0),Calculations!L74,IF(UnweightedStudCntK8PY&gt;=600,Calculations!L77,0)))))</f>
        <v>661.89</v>
      </c>
      <c r="H114" s="595" t="s">
        <v>489</v>
      </c>
      <c r="I114" s="995">
        <f>IF(I113=0,0,IF(VALUE(LEFT(RIGHT(L1,7),2))=3,AA168/2,AA168))</f>
        <v>0</v>
      </c>
      <c r="J114" s="595" t="s">
        <v>489</v>
      </c>
      <c r="K114" s="1010">
        <f>IF(K113=0,0,IF(VALUE(LEFT(RIGHT(L1,7),2))=3,AA168/2,AA168))</f>
        <v>0</v>
      </c>
      <c r="L114" s="1011"/>
      <c r="M114" s="1012"/>
      <c r="O114" s="96"/>
      <c r="AA114" s="126"/>
    </row>
    <row r="115" spans="1:27" ht="15" customHeight="1">
      <c r="A115" s="1302" t="s">
        <v>662</v>
      </c>
      <c r="B115" s="269"/>
      <c r="C115" s="269"/>
      <c r="D115" s="595" t="s">
        <v>488</v>
      </c>
      <c r="E115" s="994">
        <f>IF(E113&gt;0,ROUND(E113*E114,2),0)</f>
        <v>549.45000000000005</v>
      </c>
      <c r="F115" s="595" t="s">
        <v>488</v>
      </c>
      <c r="G115" s="994">
        <f>IF(G113&gt;0,ROUND(G113*G114,2),0)</f>
        <v>72086.64</v>
      </c>
      <c r="H115" s="595" t="s">
        <v>488</v>
      </c>
      <c r="I115" s="994">
        <f>IF(OR(I113&gt;0),I113*I114,0)</f>
        <v>0</v>
      </c>
      <c r="J115" s="595" t="s">
        <v>488</v>
      </c>
      <c r="K115" s="1013">
        <f>IF(OR(K113&gt;0),K113*K114,0)</f>
        <v>0</v>
      </c>
      <c r="L115" s="1014"/>
      <c r="M115" s="1015">
        <f>(E113*E114)+(G113*G114)+(I113*I114)+(K113*K114)</f>
        <v>72636.09</v>
      </c>
      <c r="O115" s="96"/>
      <c r="AA115" s="97"/>
    </row>
    <row r="116" spans="1:27" ht="15" customHeight="1">
      <c r="A116" s="1016" t="s">
        <v>663</v>
      </c>
      <c r="B116" s="269"/>
      <c r="C116" s="269"/>
      <c r="D116" s="269"/>
      <c r="E116" s="595"/>
      <c r="F116" s="269"/>
      <c r="G116" s="595"/>
      <c r="H116" s="269"/>
      <c r="I116" s="595"/>
      <c r="J116" s="269"/>
      <c r="K116" s="595"/>
      <c r="L116" s="269"/>
      <c r="M116" s="1008"/>
      <c r="N116" s="96"/>
      <c r="O116" s="96"/>
      <c r="AA116" s="126"/>
    </row>
    <row r="117" spans="1:27" ht="15" customHeight="1">
      <c r="A117" s="961" t="s">
        <v>664</v>
      </c>
      <c r="B117" s="269"/>
      <c r="C117" s="269"/>
      <c r="D117" s="269"/>
      <c r="E117" s="595"/>
      <c r="F117" s="269"/>
      <c r="G117" s="595"/>
      <c r="H117" s="269"/>
      <c r="I117" s="595"/>
      <c r="J117" s="269"/>
      <c r="K117" s="595"/>
      <c r="L117" s="269"/>
      <c r="M117" s="1008"/>
      <c r="N117" s="96"/>
      <c r="O117" s="96"/>
      <c r="AA117" s="126"/>
    </row>
    <row r="118" spans="1:27" ht="15" customHeight="1">
      <c r="A118" s="269" t="s">
        <v>1258</v>
      </c>
      <c r="B118" s="269"/>
      <c r="C118" s="892">
        <f>IF(VALUE(LEFT(RIGHT(L1,7),2))=3,'Data Entry'!G29+UnweightedStudCntK8PY+UnweightedStudCnt912PY+HSCountDORtoDOA,'Data Entry'!G29+UnweightedStudCntK8PY+UnweightedStudCnt912PY)</f>
        <v>109.91030000000001</v>
      </c>
      <c r="D118" s="269"/>
      <c r="E118" s="595"/>
      <c r="F118" s="269"/>
      <c r="G118" s="595"/>
      <c r="H118" s="269"/>
      <c r="I118" s="595"/>
      <c r="J118" s="269"/>
      <c r="K118" s="595"/>
      <c r="L118" s="269"/>
      <c r="M118" s="1008"/>
      <c r="N118" s="96"/>
      <c r="O118" s="96"/>
      <c r="AA118" s="126"/>
    </row>
    <row r="119" spans="1:27" ht="15" customHeight="1" thickBot="1">
      <c r="A119" s="269" t="s">
        <v>1259</v>
      </c>
      <c r="B119" s="595" t="s">
        <v>665</v>
      </c>
      <c r="C119" s="1017">
        <f>PY100DayADM</f>
        <v>99.386200000000002</v>
      </c>
      <c r="D119" s="269"/>
      <c r="E119" s="595"/>
      <c r="F119" s="269"/>
      <c r="G119" s="595"/>
      <c r="H119" s="269"/>
      <c r="I119" s="595"/>
      <c r="J119" s="269"/>
      <c r="K119" s="595"/>
      <c r="L119" s="269"/>
      <c r="M119" s="1008"/>
      <c r="N119" s="96"/>
      <c r="O119" s="96"/>
      <c r="AA119" s="126"/>
    </row>
    <row r="120" spans="1:27" ht="15" customHeight="1">
      <c r="A120" s="269" t="s">
        <v>1260</v>
      </c>
      <c r="B120" s="595" t="s">
        <v>488</v>
      </c>
      <c r="C120" s="892">
        <f>IF(C119&gt;0,ROUND(+C118/C119,10),0)</f>
        <v>1.1059000000000001</v>
      </c>
      <c r="E120" s="1216"/>
      <c r="G120" s="1216"/>
      <c r="I120" s="1216"/>
      <c r="K120" s="1216"/>
      <c r="L120" s="269"/>
      <c r="M120" s="1008"/>
      <c r="N120" s="96"/>
      <c r="O120" s="96"/>
      <c r="AA120" s="126"/>
    </row>
    <row r="121" spans="1:27" ht="15" customHeight="1" thickBot="1">
      <c r="A121" s="269" t="s">
        <v>1261</v>
      </c>
      <c r="B121" s="269"/>
      <c r="C121" s="269"/>
      <c r="D121" s="595" t="s">
        <v>489</v>
      </c>
      <c r="E121" s="1018">
        <f>IF(IF(C119&gt;0,ROUND(+C118/C119,10),0)&gt;0,IF(IF(C119&gt;0,ROUND(+C118/C119,10),0)&gt;1.05,+(IF(C119&gt;0,ROUND(+C118/C119,10),0)-1)/2+1,1),0)</f>
        <v>1.0529454793999999</v>
      </c>
      <c r="F121" s="595" t="s">
        <v>489</v>
      </c>
      <c r="G121" s="1018">
        <f>IF(IF(C119&gt;0,ROUND(+C118/C119,10),0)&gt;0,IF(IF(C119&gt;0,ROUND(+C118/C119,10),0)&gt;1.05,+(IF(C119&gt;0,ROUND(+C118/C119,10),0)-1)/2+1,1),0)</f>
        <v>1.0529454793999999</v>
      </c>
      <c r="H121" s="595" t="s">
        <v>489</v>
      </c>
      <c r="I121" s="1018">
        <f>IF(IF(C119&gt;0,ROUND(+C118/C119,10),0)&gt;0,IF(IF(C119&gt;0,ROUND(+C118/C119,10),0)&gt;1.05,+(IF(C119&gt;0,ROUND(+C118/C119,10),0)-1)/2+1,1),0)</f>
        <v>1.0529454793999999</v>
      </c>
      <c r="J121" s="595" t="s">
        <v>489</v>
      </c>
      <c r="K121" s="1018">
        <f>IF(IF(C119&gt;0,ROUND(+C118/C119,10),0)&gt;0,IF(IF(C119&gt;0,ROUND(+C118/C119,10),0)&gt;1.05,+(IF(C119&gt;0,ROUND(+C118/C119,10),0)-1)/2+1,1),0)</f>
        <v>1.0529454793999999</v>
      </c>
      <c r="L121" s="269"/>
      <c r="M121" s="1008"/>
      <c r="N121" s="96"/>
      <c r="O121" s="96"/>
      <c r="AA121" s="126"/>
    </row>
    <row r="122" spans="1:27" ht="15" customHeight="1">
      <c r="A122" s="1547" t="s">
        <v>666</v>
      </c>
      <c r="B122" s="1547"/>
      <c r="C122" s="1547"/>
      <c r="D122" s="1019"/>
      <c r="E122" s="269"/>
      <c r="F122" s="269"/>
      <c r="G122" s="269"/>
      <c r="H122" s="269"/>
      <c r="I122" s="269"/>
      <c r="J122" s="269"/>
      <c r="K122" s="595"/>
      <c r="L122" s="269"/>
      <c r="M122" s="595"/>
      <c r="N122" s="96"/>
      <c r="O122" s="96"/>
      <c r="AA122" s="126"/>
    </row>
    <row r="123" spans="1:27" ht="15" customHeight="1">
      <c r="A123" s="1547"/>
      <c r="B123" s="1547"/>
      <c r="C123" s="1547"/>
      <c r="D123" s="1019"/>
      <c r="E123" s="269"/>
      <c r="F123" s="269"/>
      <c r="G123" s="269"/>
      <c r="H123" s="269"/>
      <c r="I123" s="269"/>
      <c r="J123" s="269"/>
      <c r="K123" s="595"/>
      <c r="L123" s="269"/>
      <c r="M123" s="1008"/>
      <c r="N123" s="96"/>
      <c r="O123" s="96"/>
      <c r="AA123" s="126"/>
    </row>
    <row r="124" spans="1:27" ht="15" customHeight="1">
      <c r="A124" s="1302" t="s">
        <v>667</v>
      </c>
      <c r="B124" s="269"/>
      <c r="C124" s="269"/>
      <c r="D124" s="269"/>
      <c r="E124" s="940">
        <f>IF(E121&gt;0,ROUND(E115*E121,2),0)</f>
        <v>578.54</v>
      </c>
      <c r="F124" s="882"/>
      <c r="G124" s="1015">
        <f>IF(G121&gt;0,ROUND(G115*G121,2),0)</f>
        <v>75903.3</v>
      </c>
      <c r="H124" s="882"/>
      <c r="I124" s="1015">
        <f>IF(I121&gt;0,ROUND(I115*I121,2),0)</f>
        <v>0</v>
      </c>
      <c r="J124" s="882"/>
      <c r="K124" s="1015">
        <f>IF(K121&gt;0,ROUND(K115*K121,2),0)</f>
        <v>0</v>
      </c>
      <c r="L124" s="1302"/>
      <c r="M124" s="1015">
        <f>(IF(E121&gt;0,(E113*E114)*E121,0))+(IF(G121&gt;0,(G113*G114)*G121,0))+(IF(K121&gt;0,(K113*K114)*I121,0))+(IF(I121&gt;0,(I113*I114)*I121,0))</f>
        <v>76481.84</v>
      </c>
      <c r="N124" s="96"/>
      <c r="O124" s="96"/>
      <c r="AA124" s="126"/>
    </row>
    <row r="125" spans="1:27" ht="15" customHeight="1">
      <c r="A125" s="269"/>
      <c r="B125" s="269"/>
      <c r="C125" s="269"/>
      <c r="D125" s="269"/>
      <c r="E125" s="269"/>
      <c r="F125" s="269"/>
      <c r="G125" s="269"/>
      <c r="H125" s="269"/>
      <c r="I125" s="269"/>
      <c r="J125" s="269"/>
      <c r="K125" s="269"/>
      <c r="L125" s="269"/>
      <c r="M125" s="1008"/>
      <c r="N125" s="96"/>
      <c r="O125" s="96"/>
      <c r="AA125" s="126"/>
    </row>
    <row r="126" spans="1:27" ht="15" customHeight="1" thickBot="1">
      <c r="A126" s="1020" t="s">
        <v>668</v>
      </c>
      <c r="B126" s="269"/>
      <c r="C126" s="269"/>
      <c r="D126" s="269"/>
      <c r="E126" s="269"/>
      <c r="F126" s="269"/>
      <c r="G126" s="269"/>
      <c r="H126" s="269"/>
      <c r="I126" s="269"/>
      <c r="J126" s="269"/>
      <c r="K126" s="269"/>
      <c r="L126" s="269"/>
      <c r="M126" s="1008"/>
      <c r="N126" s="96"/>
      <c r="O126" s="96"/>
      <c r="AA126" s="126"/>
    </row>
    <row r="127" spans="1:27" ht="15" customHeight="1">
      <c r="A127" s="269" t="s">
        <v>1262</v>
      </c>
      <c r="B127" s="269"/>
      <c r="C127" s="269"/>
      <c r="D127" s="269"/>
      <c r="E127" s="269"/>
      <c r="F127" s="269"/>
      <c r="G127" s="269"/>
      <c r="H127" s="269"/>
      <c r="I127" s="892">
        <f>UnweightedStudCnt912PY</f>
        <v>0</v>
      </c>
      <c r="J127" s="269"/>
      <c r="K127" s="269"/>
      <c r="L127" s="269"/>
      <c r="M127" s="595"/>
      <c r="N127" s="96"/>
      <c r="O127" s="96"/>
      <c r="AA127" s="126"/>
    </row>
    <row r="128" spans="1:27" ht="15" customHeight="1">
      <c r="A128" s="269" t="s">
        <v>669</v>
      </c>
      <c r="B128" s="269"/>
      <c r="C128" s="269"/>
      <c r="D128" s="269"/>
      <c r="E128" s="269"/>
      <c r="F128" s="269"/>
      <c r="G128" s="269"/>
      <c r="H128" s="595" t="s">
        <v>489</v>
      </c>
      <c r="I128" s="1021">
        <v>84.93</v>
      </c>
      <c r="J128" s="269"/>
      <c r="K128" s="269"/>
      <c r="L128" s="269"/>
      <c r="M128" s="1008"/>
      <c r="N128" s="96"/>
      <c r="O128" s="96"/>
      <c r="AA128" s="126"/>
    </row>
    <row r="129" spans="1:28" ht="15" customHeight="1">
      <c r="A129" s="898" t="s">
        <v>668</v>
      </c>
      <c r="B129" s="269"/>
      <c r="C129" s="269"/>
      <c r="D129" s="269"/>
      <c r="E129" s="269"/>
      <c r="F129" s="269"/>
      <c r="G129" s="269"/>
      <c r="H129" s="269"/>
      <c r="I129" s="595"/>
      <c r="J129" s="269"/>
      <c r="K129" s="269"/>
      <c r="L129" s="269"/>
      <c r="M129" s="1015">
        <f>IF(I127&gt;0,ROUND(+I127*I128,2),0)</f>
        <v>0</v>
      </c>
      <c r="N129" s="96"/>
      <c r="O129" s="96"/>
      <c r="AA129" s="126"/>
    </row>
    <row r="130" spans="1:28" ht="15" customHeight="1">
      <c r="A130" s="269"/>
      <c r="B130" s="269"/>
      <c r="C130" s="269"/>
      <c r="D130" s="269"/>
      <c r="E130" s="269"/>
      <c r="F130" s="269"/>
      <c r="G130" s="269"/>
      <c r="H130" s="269"/>
      <c r="I130" s="269"/>
      <c r="J130" s="269"/>
      <c r="K130" s="269"/>
      <c r="L130" s="269"/>
      <c r="M130" s="1022"/>
      <c r="N130" s="96"/>
      <c r="O130" s="96"/>
      <c r="AA130" s="126"/>
    </row>
    <row r="131" spans="1:28" ht="15" customHeight="1" thickBot="1">
      <c r="A131" s="269"/>
      <c r="B131" s="269"/>
      <c r="C131" s="269"/>
      <c r="D131" s="269"/>
      <c r="E131" s="1023" t="s">
        <v>670</v>
      </c>
      <c r="F131" s="269"/>
      <c r="G131" s="1023" t="s">
        <v>430</v>
      </c>
      <c r="H131" s="269"/>
      <c r="I131" s="269"/>
      <c r="J131" s="269"/>
      <c r="K131" s="269"/>
      <c r="L131" s="269"/>
      <c r="M131" s="1022"/>
      <c r="N131" s="96"/>
      <c r="O131" s="96"/>
      <c r="AA131" s="126"/>
    </row>
    <row r="132" spans="1:28" ht="15" customHeight="1">
      <c r="A132" s="1302" t="s">
        <v>671</v>
      </c>
      <c r="B132" s="269"/>
      <c r="C132" s="269"/>
      <c r="D132" s="269"/>
      <c r="E132" s="994">
        <f>E124+G124</f>
        <v>76481.84</v>
      </c>
      <c r="F132" s="1024"/>
      <c r="G132" s="994">
        <f>I124+M129</f>
        <v>0</v>
      </c>
      <c r="H132" s="269"/>
      <c r="I132" s="269"/>
      <c r="J132" s="269"/>
      <c r="K132" s="269"/>
      <c r="L132" s="269"/>
      <c r="M132" s="1015">
        <f>E132+G132+G133</f>
        <v>76481.84</v>
      </c>
      <c r="N132" s="96"/>
      <c r="O132" s="96"/>
      <c r="AA132" s="126"/>
    </row>
    <row r="133" spans="1:28" ht="15" customHeight="1">
      <c r="A133" s="644" t="s">
        <v>660</v>
      </c>
      <c r="B133" s="269"/>
      <c r="C133" s="269"/>
      <c r="D133" s="305"/>
      <c r="E133" s="994"/>
      <c r="F133" s="1024"/>
      <c r="G133" s="994">
        <f>K124</f>
        <v>0</v>
      </c>
      <c r="H133" s="269"/>
      <c r="I133" s="269"/>
      <c r="J133" s="269"/>
      <c r="K133" s="269"/>
      <c r="L133" s="269"/>
      <c r="M133" s="1025"/>
      <c r="N133" s="96"/>
      <c r="O133" s="96"/>
      <c r="AA133" s="126"/>
    </row>
    <row r="134" spans="1:28" ht="15" customHeight="1" thickBot="1">
      <c r="A134" s="269"/>
      <c r="B134" s="269"/>
      <c r="C134" s="269"/>
      <c r="D134" s="269"/>
      <c r="E134" s="1009">
        <f>CapTransportAdjPSD+CapTransportAdjK8</f>
        <v>0</v>
      </c>
      <c r="F134" s="1024"/>
      <c r="G134" s="1009">
        <f>CapTransportAdj912</f>
        <v>0</v>
      </c>
      <c r="H134" s="269"/>
      <c r="I134" s="269"/>
      <c r="J134" s="269"/>
      <c r="K134" s="269"/>
      <c r="L134" s="269"/>
      <c r="M134" s="1026">
        <f>E134+G134</f>
        <v>0</v>
      </c>
      <c r="N134" s="96"/>
      <c r="O134" s="96"/>
      <c r="AA134" s="126"/>
    </row>
    <row r="135" spans="1:28" ht="15" customHeight="1">
      <c r="A135" s="1302" t="s">
        <v>672</v>
      </c>
      <c r="B135" s="269"/>
      <c r="C135" s="269"/>
      <c r="D135" s="269"/>
      <c r="E135" s="994">
        <f>SUM(E134)</f>
        <v>0</v>
      </c>
      <c r="F135" s="1024"/>
      <c r="G135" s="994">
        <f>G134</f>
        <v>0</v>
      </c>
      <c r="H135" s="269"/>
      <c r="I135" s="269"/>
      <c r="J135" s="269"/>
      <c r="K135" s="269"/>
      <c r="L135" s="269"/>
      <c r="M135" s="1015">
        <f>E135+G135</f>
        <v>0</v>
      </c>
      <c r="N135" s="96"/>
      <c r="O135" s="96"/>
      <c r="AA135" s="126"/>
    </row>
    <row r="136" spans="1:28" ht="15" customHeight="1">
      <c r="A136" s="1302" t="s">
        <v>901</v>
      </c>
      <c r="B136" s="269"/>
      <c r="C136" s="269"/>
      <c r="D136" s="269"/>
      <c r="E136" s="994">
        <f>E132+E135</f>
        <v>76481.84</v>
      </c>
      <c r="F136" s="1024"/>
      <c r="G136" s="994">
        <f>G135+G132+G133</f>
        <v>0</v>
      </c>
      <c r="H136" s="269"/>
      <c r="I136" s="269"/>
      <c r="J136" s="269"/>
      <c r="K136" s="269"/>
      <c r="L136" s="269"/>
      <c r="M136" s="940">
        <f>E136+G136</f>
        <v>76481.84</v>
      </c>
      <c r="N136" s="96"/>
      <c r="O136" s="96"/>
      <c r="AA136" s="126"/>
    </row>
    <row r="137" spans="1:28" ht="15" customHeight="1">
      <c r="E137" s="208"/>
      <c r="AA137" s="126"/>
    </row>
    <row r="138" spans="1:28" ht="15" customHeight="1">
      <c r="AA138" s="126"/>
    </row>
    <row r="139" spans="1:28" ht="15" customHeight="1">
      <c r="A139" s="310"/>
      <c r="B139" s="310"/>
      <c r="C139" s="310"/>
      <c r="D139" s="1539" t="str">
        <f>IF(DistrictName&lt;&gt;0,DistrictName,"")</f>
        <v>Pomerene Elementary School District</v>
      </c>
      <c r="E139" s="1539"/>
      <c r="F139" s="1539"/>
      <c r="G139" s="1539"/>
      <c r="H139" s="1539"/>
      <c r="I139" s="310"/>
      <c r="J139" s="310"/>
      <c r="K139" s="310"/>
      <c r="L139" s="310"/>
      <c r="M139" s="310"/>
    </row>
    <row r="140" spans="1:28" ht="34.5" customHeight="1">
      <c r="A140" s="309"/>
      <c r="B140" s="309"/>
      <c r="C140" s="309"/>
      <c r="D140" s="1540" t="s">
        <v>596</v>
      </c>
      <c r="E140" s="1540"/>
      <c r="F140" s="1540"/>
      <c r="G140" s="1540"/>
      <c r="H140" s="1540"/>
      <c r="I140" s="309"/>
      <c r="J140" s="309"/>
      <c r="K140" s="309"/>
      <c r="L140" s="309"/>
      <c r="M140" s="309"/>
      <c r="AA140" s="1027">
        <f>IF(AND(VALUE(LEFT(RIGHT(L1,7),2))=3,DailyRteMilesPerElgStud&gt;1),0.18,IF(AND(VALUE(LEFT(RIGHT(L1,7),2))=3,DailyRteMilesPerElgStud&lt;=1),0.15," "))</f>
        <v>0.18</v>
      </c>
    </row>
    <row r="141" spans="1:28" ht="15" customHeight="1" thickBot="1">
      <c r="A141" s="886"/>
      <c r="B141" s="886"/>
      <c r="C141" s="886"/>
      <c r="D141" s="886"/>
      <c r="E141" s="886"/>
      <c r="F141" s="885" t="s">
        <v>597</v>
      </c>
      <c r="G141" s="886" t="str">
        <f>IF(AND(SmallIsolatedPSD8Checkbox="X",SmallIsolated912Checkbox="X"),"Elementary and High School",IF(SmallIsolatedPSD8Checkbox="X","Elementary",IF(SmallIsolated912Checkbox="X","High School","Not Isolated")))</f>
        <v>Not Isolated</v>
      </c>
      <c r="H141" s="886"/>
      <c r="I141" s="886"/>
      <c r="J141" s="886"/>
      <c r="K141" s="886"/>
      <c r="L141" s="887" t="s">
        <v>598</v>
      </c>
      <c r="M141" s="887" t="s">
        <v>673</v>
      </c>
      <c r="AA141" s="1027" t="str">
        <f>IF(AND(VALUE(LEFT(RIGHT(L1,7),2))=2,DailyRteMilesPerElgStud&gt;1),0.18,IF(AND(VALUE(LEFT(RIGHT(L1,7),2))=2,DailyRteMilesPerElgStud&lt;=1),0.15," "))</f>
        <v xml:space="preserve"> </v>
      </c>
      <c r="AB141" s="250"/>
    </row>
    <row r="142" spans="1:28" ht="15" customHeight="1">
      <c r="A142" s="1028" t="s">
        <v>674</v>
      </c>
      <c r="B142" s="269"/>
      <c r="C142" s="269"/>
      <c r="D142" s="269"/>
      <c r="E142" s="302"/>
      <c r="F142" s="269"/>
      <c r="G142" s="302"/>
      <c r="H142" s="269"/>
      <c r="I142" s="1541" t="s">
        <v>675</v>
      </c>
      <c r="J142" s="302"/>
      <c r="K142" s="269"/>
      <c r="L142" s="302"/>
      <c r="M142" s="960"/>
      <c r="N142" s="96"/>
      <c r="AA142" s="1027" t="str">
        <f>IF(AND(VALUE(LEFT(RIGHT(L1,7),2))=4,DailyRteMilesPerElgStud&gt;1),0.12,IF(AND(VALUE(LEFT(RIGHT(L1,7),2))=4,DailyRteMilesPerElgStud&lt;=1),0.1," "))</f>
        <v xml:space="preserve"> </v>
      </c>
    </row>
    <row r="143" spans="1:28" ht="15" customHeight="1" thickBot="1">
      <c r="A143" s="269"/>
      <c r="B143" s="269"/>
      <c r="C143" s="269"/>
      <c r="D143" s="269"/>
      <c r="E143" s="1029" t="s">
        <v>676</v>
      </c>
      <c r="F143" s="269"/>
      <c r="G143" s="1023" t="s">
        <v>677</v>
      </c>
      <c r="H143" s="269"/>
      <c r="I143" s="1542"/>
      <c r="J143" s="302"/>
      <c r="K143" s="269"/>
      <c r="L143" s="1023" t="s">
        <v>902</v>
      </c>
      <c r="M143" s="960"/>
      <c r="N143" s="96"/>
      <c r="AA143" s="1027" t="str">
        <f>IF(AND(VALUE(LEFT(RIGHT(L1,7),2))=5,DailyRteMilesPerElgStud&gt;1),0.3,IF(AND(VALUE(LEFT(RIGHT(L1,7),2))=5,DailyRteMilesPerElgStud&lt;=1),0.25," "))</f>
        <v xml:space="preserve"> </v>
      </c>
    </row>
    <row r="144" spans="1:28" ht="15" customHeight="1">
      <c r="A144" s="269" t="s">
        <v>670</v>
      </c>
      <c r="B144" s="269"/>
      <c r="C144" s="269"/>
      <c r="D144" s="269"/>
      <c r="E144" s="892">
        <f>((C7*F7)+(D7*F7)+(E7*F7)+(C8*F8)+(D8*F8)+(E8*F8))</f>
        <v>146.63249999999999</v>
      </c>
      <c r="F144" s="269"/>
      <c r="G144" s="1030">
        <f>ROUND(IF(E146&gt;0,(((C7*F7)+(D7*F7)+(E7*F7)+(C8*F8)+(D8*F8)+(E8*F8))/(((C7*F7)+(D7*F7)+(E7*F7)+(C8*F8)+(D8*F8)+(E8*F8))+((C9*F9)+(D9*F9)+(E9*F9)))),0),10)</f>
        <v>1</v>
      </c>
      <c r="H144" s="595" t="s">
        <v>489</v>
      </c>
      <c r="I144" s="1031">
        <f>IF(VALUE(LEFT(RIGHT(L1,7),2))=3,G144*J90,MIN(DSL,RCL))</f>
        <v>930556.23</v>
      </c>
      <c r="J144" s="1032"/>
      <c r="K144" s="269"/>
      <c r="L144" s="1033">
        <f>G144*I144</f>
        <v>930556.23</v>
      </c>
      <c r="M144" s="960"/>
      <c r="N144" s="96"/>
      <c r="AA144" s="1027" t="str">
        <f>IF(AND(VALUE(LEFT(RIGHT(L1,7),2))=1,DailyRteMilesPerElgStud&gt;1,AccommTransCheck="X"),0.18,IF(AND(VALUE(LEFT(RIGHT(L1,7),2))=1,DailyRteMilesPerElgStud&lt;=1,AccommTransCheck="X"),0.15,IF(AND(VALUE(LEFT(RIGHT(L1,7),2))=1,DailyRteMilesPerElgStud&lt;=1,AccommTransCheck&lt;&gt;"X"),0.1,IF(AND(VALUE(LEFT(RIGHT(L1,7),2))=1,DailyRteMilesPerElgStud&gt;1,AccommTransCheck&lt;&gt;"X"),0.12," "))))</f>
        <v xml:space="preserve"> </v>
      </c>
    </row>
    <row r="145" spans="1:27" ht="15" customHeight="1">
      <c r="A145" s="289" t="s">
        <v>430</v>
      </c>
      <c r="B145" s="269"/>
      <c r="C145" s="269"/>
      <c r="D145" s="269"/>
      <c r="E145" s="892">
        <f>((C9*F9)+(D9*F9)+(E9*F9))</f>
        <v>0</v>
      </c>
      <c r="F145" s="269"/>
      <c r="G145" s="1030">
        <f>ROUND(IF(E146&gt;0,(((C9*F9)+(D9*F9)+(E9*F9))/(((C7*F7)+(D7*F7)+(E7*F7)+(C8*F8)+(D8*F8)+(E8*F8))+((C9*F9)+(D9*F9)+(E9*F9)))),0),10)</f>
        <v>0</v>
      </c>
      <c r="H145" s="595" t="s">
        <v>489</v>
      </c>
      <c r="I145" s="1031">
        <f>IF(VALUE(LEFT(RIGHT(L1,7),2))=3,G144*J90,MIN(DSL,RCL))</f>
        <v>930556.23</v>
      </c>
      <c r="J145" s="1032"/>
      <c r="K145" s="595" t="s">
        <v>490</v>
      </c>
      <c r="L145" s="1024">
        <f>G145*I145</f>
        <v>0</v>
      </c>
      <c r="M145" s="960"/>
      <c r="N145" s="96"/>
      <c r="AA145" s="126"/>
    </row>
    <row r="146" spans="1:27" ht="15" customHeight="1" thickBot="1">
      <c r="A146" s="1029" t="s">
        <v>359</v>
      </c>
      <c r="B146" s="886"/>
      <c r="C146" s="886"/>
      <c r="D146" s="886"/>
      <c r="E146" s="1034">
        <f>E144+E145</f>
        <v>146.63249999999999</v>
      </c>
      <c r="F146" s="886"/>
      <c r="G146" s="886"/>
      <c r="H146" s="886"/>
      <c r="I146" s="886"/>
      <c r="J146" s="886"/>
      <c r="K146" s="886"/>
      <c r="L146" s="1035">
        <f>SUM(L144:L145)</f>
        <v>930556.23</v>
      </c>
      <c r="M146" s="977"/>
      <c r="N146" s="96"/>
      <c r="AA146" s="126"/>
    </row>
    <row r="147" spans="1:27" ht="15" customHeight="1">
      <c r="A147" s="269"/>
      <c r="B147" s="269"/>
      <c r="C147" s="269"/>
      <c r="D147" s="269"/>
      <c r="E147" s="269"/>
      <c r="F147" s="269"/>
      <c r="G147" s="269"/>
      <c r="H147" s="269"/>
      <c r="I147" s="269"/>
      <c r="J147" s="269"/>
      <c r="K147" s="269"/>
      <c r="L147" s="269"/>
      <c r="M147" s="960"/>
      <c r="N147" s="96"/>
      <c r="AA147" s="126"/>
    </row>
    <row r="148" spans="1:27" ht="15" customHeight="1" thickBot="1">
      <c r="A148" s="1028" t="s">
        <v>678</v>
      </c>
      <c r="B148" s="269"/>
      <c r="C148" s="269"/>
      <c r="D148" s="269"/>
      <c r="E148" s="1023" t="s">
        <v>670</v>
      </c>
      <c r="F148" s="269"/>
      <c r="G148" s="1023" t="s">
        <v>679</v>
      </c>
      <c r="H148" s="269"/>
      <c r="I148" s="269"/>
      <c r="J148" s="269"/>
      <c r="K148" s="269"/>
      <c r="L148" s="1023" t="s">
        <v>359</v>
      </c>
      <c r="M148" s="960"/>
      <c r="N148" s="96"/>
      <c r="AA148" s="126"/>
    </row>
    <row r="149" spans="1:27" ht="15" customHeight="1">
      <c r="A149" s="269" t="s">
        <v>680</v>
      </c>
      <c r="B149" s="269"/>
      <c r="C149" s="269"/>
      <c r="D149" s="269"/>
      <c r="E149" s="994">
        <f>PAV</f>
        <v>8584653</v>
      </c>
      <c r="F149" s="1024"/>
      <c r="G149" s="994">
        <f>PAV</f>
        <v>8584653</v>
      </c>
      <c r="H149" s="269"/>
      <c r="I149" s="269"/>
      <c r="J149" s="269"/>
      <c r="K149" s="269"/>
      <c r="L149" s="269"/>
      <c r="M149" s="960"/>
      <c r="N149" s="96"/>
      <c r="AA149" s="126"/>
    </row>
    <row r="150" spans="1:27" ht="15" customHeight="1">
      <c r="A150" s="269" t="s">
        <v>681</v>
      </c>
      <c r="B150" s="269"/>
      <c r="C150" s="269"/>
      <c r="D150" s="269"/>
      <c r="E150" s="994">
        <f>_PAV2</f>
        <v>0</v>
      </c>
      <c r="F150" s="1024"/>
      <c r="G150" s="994">
        <f>_PAV2</f>
        <v>0</v>
      </c>
      <c r="H150" s="269"/>
      <c r="I150" s="269"/>
      <c r="J150" s="269"/>
      <c r="K150" s="269"/>
      <c r="L150" s="269"/>
      <c r="M150" s="960"/>
      <c r="N150" s="96"/>
      <c r="AA150" s="126"/>
    </row>
    <row r="151" spans="1:27" ht="15" customHeight="1">
      <c r="A151" s="269" t="s">
        <v>682</v>
      </c>
      <c r="B151" s="269"/>
      <c r="C151" s="269"/>
      <c r="D151" s="269"/>
      <c r="E151" s="994">
        <f>SRPV</f>
        <v>0</v>
      </c>
      <c r="F151" s="1024"/>
      <c r="G151" s="994">
        <f>SRPV</f>
        <v>0</v>
      </c>
      <c r="H151" s="269"/>
      <c r="I151" s="269"/>
      <c r="J151" s="269"/>
      <c r="K151" s="269"/>
      <c r="L151" s="269"/>
      <c r="M151" s="960"/>
      <c r="N151" s="96"/>
      <c r="AA151" s="126"/>
    </row>
    <row r="152" spans="1:27" ht="15" customHeight="1" thickBot="1">
      <c r="A152" s="269" t="s">
        <v>683</v>
      </c>
      <c r="B152" s="269"/>
      <c r="C152" s="269"/>
      <c r="D152" s="269"/>
      <c r="E152" s="995">
        <f>GPLETV</f>
        <v>0</v>
      </c>
      <c r="F152" s="1024"/>
      <c r="G152" s="995">
        <f>GPLETV</f>
        <v>0</v>
      </c>
      <c r="H152" s="269"/>
      <c r="I152" s="269"/>
      <c r="J152" s="269"/>
      <c r="K152" s="269"/>
      <c r="L152" s="269"/>
      <c r="M152" s="960"/>
      <c r="N152" s="96"/>
      <c r="AA152" s="126"/>
    </row>
    <row r="153" spans="1:27" ht="15" customHeight="1">
      <c r="A153" s="1302" t="s">
        <v>684</v>
      </c>
      <c r="B153" s="269"/>
      <c r="C153" s="269"/>
      <c r="D153" s="269"/>
      <c r="E153" s="994">
        <f>SUM(E149:E152)</f>
        <v>8584653</v>
      </c>
      <c r="F153" s="1024"/>
      <c r="G153" s="994">
        <f>SUM(G149:G152)</f>
        <v>8584653</v>
      </c>
      <c r="H153" s="269"/>
      <c r="I153" s="269"/>
      <c r="J153" s="269"/>
      <c r="K153" s="269"/>
      <c r="L153" s="269"/>
      <c r="M153" s="960"/>
      <c r="N153" s="96"/>
      <c r="AA153" s="126"/>
    </row>
    <row r="154" spans="1:27" ht="15" customHeight="1" thickBot="1">
      <c r="A154" s="269"/>
      <c r="B154" s="269"/>
      <c r="C154" s="269"/>
      <c r="D154" s="595" t="s">
        <v>665</v>
      </c>
      <c r="E154" s="885">
        <v>100</v>
      </c>
      <c r="F154" s="595" t="s">
        <v>665</v>
      </c>
      <c r="G154" s="885">
        <v>100</v>
      </c>
      <c r="H154" s="269"/>
      <c r="I154" s="269"/>
      <c r="J154" s="269"/>
      <c r="K154" s="269"/>
      <c r="L154" s="269"/>
      <c r="M154" s="960"/>
      <c r="N154" s="96"/>
      <c r="AA154" s="126"/>
    </row>
    <row r="155" spans="1:27" ht="15" customHeight="1">
      <c r="A155" s="269"/>
      <c r="B155" s="269"/>
      <c r="C155" s="269"/>
      <c r="D155" s="269"/>
      <c r="E155" s="994">
        <f>E153/E154</f>
        <v>85846.53</v>
      </c>
      <c r="F155" s="1024"/>
      <c r="G155" s="994">
        <f>G153/G154</f>
        <v>85846.53</v>
      </c>
      <c r="H155" s="269"/>
      <c r="I155" s="269"/>
      <c r="J155" s="269"/>
      <c r="K155" s="269"/>
      <c r="L155" s="269"/>
      <c r="M155" s="960"/>
      <c r="N155" s="96"/>
      <c r="AA155" s="126"/>
    </row>
    <row r="156" spans="1:27" ht="15" customHeight="1" thickBot="1">
      <c r="A156" s="269" t="s">
        <v>685</v>
      </c>
      <c r="B156" s="269"/>
      <c r="C156" s="269"/>
      <c r="D156" s="595" t="s">
        <v>489</v>
      </c>
      <c r="E156" s="1018">
        <f>IF(VALUE(LEFT(RIGHT(L1,7),2))=8,0.05,QTR)</f>
        <v>1.5127999999999999</v>
      </c>
      <c r="F156" s="595" t="s">
        <v>489</v>
      </c>
      <c r="G156" s="1018">
        <f>IF(VALUE(LEFT(RIGHT(L1,7),2))=8,0.05,QTR)</f>
        <v>1.5127999999999999</v>
      </c>
      <c r="H156" s="269"/>
      <c r="I156" s="269"/>
      <c r="J156" s="269"/>
      <c r="K156" s="269"/>
      <c r="L156" s="269"/>
      <c r="M156" s="960"/>
      <c r="N156" s="96"/>
      <c r="AA156" s="126"/>
    </row>
    <row r="157" spans="1:27" ht="15" customHeight="1">
      <c r="A157" s="1302" t="s">
        <v>1263</v>
      </c>
      <c r="B157" s="269"/>
      <c r="C157" s="269"/>
      <c r="D157" s="269"/>
      <c r="E157" s="994">
        <f>E155*E156</f>
        <v>129868.63</v>
      </c>
      <c r="F157" s="1024"/>
      <c r="G157" s="994">
        <f>G155*G156</f>
        <v>129868.63</v>
      </c>
      <c r="H157" s="1024"/>
      <c r="I157" s="1024"/>
      <c r="J157" s="1024"/>
      <c r="K157" s="1024"/>
      <c r="L157" s="994">
        <f>E157+G157</f>
        <v>259737.26</v>
      </c>
      <c r="M157" s="960"/>
      <c r="N157" s="96"/>
      <c r="AA157" s="126"/>
    </row>
    <row r="158" spans="1:27" ht="15" customHeight="1" thickBot="1">
      <c r="A158" s="886"/>
      <c r="B158" s="886"/>
      <c r="C158" s="886"/>
      <c r="D158" s="886"/>
      <c r="E158" s="886"/>
      <c r="F158" s="886"/>
      <c r="G158" s="886"/>
      <c r="H158" s="886"/>
      <c r="I158" s="886"/>
      <c r="J158" s="886"/>
      <c r="K158" s="886"/>
      <c r="L158" s="886"/>
      <c r="M158" s="977"/>
      <c r="N158" s="96"/>
      <c r="AA158" s="126"/>
    </row>
    <row r="159" spans="1:27" ht="15" customHeight="1">
      <c r="A159" s="302"/>
      <c r="B159" s="269"/>
      <c r="C159" s="269"/>
      <c r="D159" s="269"/>
      <c r="E159" s="269"/>
      <c r="F159" s="269"/>
      <c r="G159" s="269"/>
      <c r="H159" s="269"/>
      <c r="I159" s="269"/>
      <c r="J159" s="269"/>
      <c r="K159" s="269"/>
      <c r="L159" s="269"/>
      <c r="M159" s="960"/>
      <c r="N159" s="96"/>
      <c r="AA159" s="126"/>
    </row>
    <row r="160" spans="1:27" ht="15" customHeight="1">
      <c r="A160" s="961" t="s">
        <v>686</v>
      </c>
      <c r="B160" s="269"/>
      <c r="C160" s="269"/>
      <c r="D160" s="269"/>
      <c r="E160" s="269"/>
      <c r="F160" s="269"/>
      <c r="G160" s="269"/>
      <c r="H160" s="269"/>
      <c r="I160" s="269"/>
      <c r="J160" s="269"/>
      <c r="K160" s="269"/>
      <c r="L160" s="269"/>
      <c r="M160" s="960"/>
      <c r="N160" s="96"/>
      <c r="AA160" s="126"/>
    </row>
    <row r="161" spans="1:27" ht="15" customHeight="1" thickBot="1">
      <c r="A161" s="269"/>
      <c r="B161" s="269"/>
      <c r="C161" s="269"/>
      <c r="D161" s="269"/>
      <c r="E161" s="1023" t="s">
        <v>670</v>
      </c>
      <c r="F161" s="269"/>
      <c r="G161" s="1023" t="s">
        <v>430</v>
      </c>
      <c r="H161" s="269"/>
      <c r="I161" s="269"/>
      <c r="J161" s="269"/>
      <c r="K161" s="269"/>
      <c r="L161" s="1023" t="s">
        <v>359</v>
      </c>
      <c r="M161" s="960"/>
      <c r="N161" s="96"/>
      <c r="AA161" s="126"/>
    </row>
    <row r="162" spans="1:27" ht="15" customHeight="1">
      <c r="A162" s="269" t="s">
        <v>687</v>
      </c>
      <c r="B162" s="269"/>
      <c r="C162" s="269"/>
      <c r="D162" s="269"/>
      <c r="E162" s="994">
        <f>L144</f>
        <v>930556.23</v>
      </c>
      <c r="F162" s="269"/>
      <c r="G162" s="994">
        <f>L145</f>
        <v>0</v>
      </c>
      <c r="H162" s="269"/>
      <c r="I162" s="269"/>
      <c r="J162" s="269"/>
      <c r="K162" s="269"/>
      <c r="L162" s="994">
        <f>E162+G162</f>
        <v>930556.23</v>
      </c>
      <c r="M162" s="960"/>
      <c r="N162" s="96"/>
      <c r="AA162" s="126"/>
    </row>
    <row r="163" spans="1:27" ht="15" customHeight="1">
      <c r="A163" s="269" t="s">
        <v>688</v>
      </c>
      <c r="B163" s="269"/>
      <c r="C163" s="269"/>
      <c r="D163" s="595" t="s">
        <v>490</v>
      </c>
      <c r="E163" s="994">
        <f>E136</f>
        <v>76481.84</v>
      </c>
      <c r="F163" s="595" t="s">
        <v>490</v>
      </c>
      <c r="G163" s="994">
        <f>G136</f>
        <v>0</v>
      </c>
      <c r="H163" s="269"/>
      <c r="I163" s="269"/>
      <c r="J163" s="269"/>
      <c r="K163" s="595" t="s">
        <v>490</v>
      </c>
      <c r="L163" s="994">
        <f>E163+G163</f>
        <v>76481.84</v>
      </c>
      <c r="M163" s="960"/>
      <c r="N163" s="96"/>
      <c r="AA163" s="126"/>
    </row>
    <row r="164" spans="1:27" ht="15" customHeight="1">
      <c r="A164" s="1302" t="s">
        <v>1264</v>
      </c>
      <c r="B164" s="269"/>
      <c r="C164" s="269"/>
      <c r="D164" s="595"/>
      <c r="E164" s="994">
        <f>SUM(E162:E163)</f>
        <v>1007038.07</v>
      </c>
      <c r="F164" s="269"/>
      <c r="G164" s="1013">
        <f>SUM(G162:G163)</f>
        <v>0</v>
      </c>
      <c r="H164" s="269"/>
      <c r="I164" s="269"/>
      <c r="J164" s="269"/>
      <c r="K164" s="595"/>
      <c r="L164" s="1013">
        <f>EqualBasePSD8+EqualBase912</f>
        <v>1007038.07</v>
      </c>
      <c r="M164" s="960"/>
      <c r="N164" s="96"/>
      <c r="AA164" s="126"/>
    </row>
    <row r="165" spans="1:27" ht="15" customHeight="1" thickBot="1">
      <c r="A165" s="1302" t="s">
        <v>1265</v>
      </c>
      <c r="B165" s="269"/>
      <c r="C165" s="269"/>
      <c r="D165" s="595" t="s">
        <v>486</v>
      </c>
      <c r="E165" s="995">
        <f>MIN(IF(VALUE(LEFT(RIGHT(L1,7),2))=8,0,IF(E150&gt;0,(E149+E151+E152)*E156/100,E153*E156/100)),EqualBasePSD8)</f>
        <v>129868.63</v>
      </c>
      <c r="F165" s="595" t="s">
        <v>486</v>
      </c>
      <c r="G165" s="995">
        <f>MIN(IF(G150&gt;0,(G150+G151+G152)*G156/100,G153*G156/100),EqualBase912)</f>
        <v>0</v>
      </c>
      <c r="H165" s="269"/>
      <c r="I165" s="269"/>
      <c r="J165" s="269"/>
      <c r="K165" s="595" t="s">
        <v>486</v>
      </c>
      <c r="L165" s="995">
        <f>QLPSD8+_QL912</f>
        <v>129868.63</v>
      </c>
      <c r="M165" s="960"/>
      <c r="N165" s="96"/>
      <c r="AA165" s="126"/>
    </row>
    <row r="166" spans="1:27" ht="15" customHeight="1">
      <c r="A166" s="1302" t="s">
        <v>1266</v>
      </c>
      <c r="B166" s="269"/>
      <c r="C166" s="269"/>
      <c r="D166" s="269"/>
      <c r="E166" s="1013">
        <f>IF(E164-E165&lt;0,0,E164-E165)</f>
        <v>877169.44</v>
      </c>
      <c r="F166" s="269"/>
      <c r="G166" s="1013">
        <f>IF(G164-G165&lt;0,0,G164-G165)</f>
        <v>0</v>
      </c>
      <c r="H166" s="269"/>
      <c r="I166" s="269"/>
      <c r="J166" s="269"/>
      <c r="K166" s="269"/>
      <c r="L166" s="1013">
        <f>E166+G166</f>
        <v>877169.44</v>
      </c>
      <c r="M166" s="960"/>
      <c r="AA166" s="126"/>
    </row>
    <row r="167" spans="1:27" ht="15" customHeight="1">
      <c r="AA167" s="126"/>
    </row>
    <row r="168" spans="1:27" ht="15" customHeight="1">
      <c r="AA168" s="126">
        <f>IF(VALUE(LEFT(RIGHT(L1,7),2))=8,Calculations!O77,IF(AND(UnweightedStudCnt912PY+HSCountDORtoDOA&gt;0,UnweightedStudCnt912PY+HSCountDORtoDOA&lt;100),Calculations!O52,IF(AND(Calculations!O56&gt;0),Calculations!O63,IF(AND(Calculations!O67&gt;0),Calculations!O74,IF(UnweightedStudCnt912PY+HSCountDORtoDOA&gt;=600,Calculations!O77,0)))))</f>
        <v>0</v>
      </c>
    </row>
    <row r="169" spans="1:27" ht="15" customHeight="1">
      <c r="AA169" s="126"/>
    </row>
    <row r="170" spans="1:27" ht="15" customHeight="1">
      <c r="AA170" s="126"/>
    </row>
    <row r="171" spans="1:27" ht="15" customHeight="1">
      <c r="AA171" s="126"/>
    </row>
    <row r="172" spans="1:27" ht="15" customHeight="1">
      <c r="AA172" s="126"/>
    </row>
    <row r="173" spans="1:27" ht="15" customHeight="1">
      <c r="AA173" s="126"/>
    </row>
    <row r="174" spans="1:27" ht="15" customHeight="1">
      <c r="AA174" s="126"/>
    </row>
    <row r="175" spans="1:27" ht="15" customHeight="1">
      <c r="AA175" s="126"/>
    </row>
    <row r="176" spans="1:27" ht="15" customHeight="1">
      <c r="AA176" s="126"/>
    </row>
    <row r="177" spans="27:27" ht="15" customHeight="1">
      <c r="AA177" s="126"/>
    </row>
    <row r="178" spans="27:27" ht="15" customHeight="1">
      <c r="AA178" s="126"/>
    </row>
    <row r="179" spans="27:27" ht="15" customHeight="1">
      <c r="AA179" s="126"/>
    </row>
    <row r="180" spans="27:27" ht="15" customHeight="1">
      <c r="AA180" s="126"/>
    </row>
    <row r="181" spans="27:27" ht="15" customHeight="1">
      <c r="AA181" s="126"/>
    </row>
    <row r="182" spans="27:27" ht="15" customHeight="1">
      <c r="AA182" s="126"/>
    </row>
    <row r="183" spans="27:27" ht="15" customHeight="1">
      <c r="AA183" s="126"/>
    </row>
    <row r="184" spans="27:27" ht="15" customHeight="1">
      <c r="AA184" s="126"/>
    </row>
    <row r="185" spans="27:27" ht="15" customHeight="1">
      <c r="AA185" s="126"/>
    </row>
    <row r="186" spans="27:27" ht="15" customHeight="1">
      <c r="AA186" s="126"/>
    </row>
    <row r="187" spans="27:27" ht="15" customHeight="1">
      <c r="AA187" s="126"/>
    </row>
    <row r="188" spans="27:27" ht="15" customHeight="1">
      <c r="AA188" s="126"/>
    </row>
    <row r="189" spans="27:27" ht="15" customHeight="1">
      <c r="AA189" s="126"/>
    </row>
    <row r="190" spans="27:27" ht="15" customHeight="1">
      <c r="AA190" s="126"/>
    </row>
    <row r="191" spans="27:27" ht="15" customHeight="1">
      <c r="AA191" s="126"/>
    </row>
    <row r="192" spans="27:27" ht="15" customHeight="1">
      <c r="AA192" s="126"/>
    </row>
    <row r="193" spans="27:27" ht="15" customHeight="1">
      <c r="AA193" s="126"/>
    </row>
    <row r="194" spans="27:27" ht="15" customHeight="1">
      <c r="AA194" s="126"/>
    </row>
    <row r="195" spans="27:27" ht="15" customHeight="1">
      <c r="AA195" s="126"/>
    </row>
    <row r="196" spans="27:27" ht="15" customHeight="1">
      <c r="AA196" s="126"/>
    </row>
    <row r="197" spans="27:27" ht="15" customHeight="1">
      <c r="AA197" s="126"/>
    </row>
    <row r="198" spans="27:27" ht="15" customHeight="1">
      <c r="AA198" s="126"/>
    </row>
    <row r="199" spans="27:27" ht="15" customHeight="1">
      <c r="AA199" s="126"/>
    </row>
    <row r="200" spans="27:27" ht="15" customHeight="1">
      <c r="AA200" s="126"/>
    </row>
    <row r="201" spans="27:27" ht="15" customHeight="1">
      <c r="AA201" s="126"/>
    </row>
    <row r="202" spans="27:27" ht="15" customHeight="1">
      <c r="AA202" s="126"/>
    </row>
    <row r="203" spans="27:27" ht="15" customHeight="1">
      <c r="AA203" s="126"/>
    </row>
    <row r="204" spans="27:27" ht="15" customHeight="1">
      <c r="AA204" s="126"/>
    </row>
    <row r="205" spans="27:27" ht="15" customHeight="1">
      <c r="AA205" s="126"/>
    </row>
    <row r="206" spans="27:27" ht="15" customHeight="1">
      <c r="AA206" s="126"/>
    </row>
    <row r="207" spans="27:27" ht="15" customHeight="1">
      <c r="AA207" s="126"/>
    </row>
    <row r="208" spans="27:27" ht="15" customHeight="1">
      <c r="AA208" s="126"/>
    </row>
    <row r="209" spans="27:27" ht="15" customHeight="1">
      <c r="AA209" s="126"/>
    </row>
    <row r="210" spans="27:27" ht="15" customHeight="1">
      <c r="AA210" s="126"/>
    </row>
    <row r="211" spans="27:27" ht="15" customHeight="1">
      <c r="AA211" s="126"/>
    </row>
    <row r="212" spans="27:27" ht="15" customHeight="1">
      <c r="AA212" s="126"/>
    </row>
    <row r="213" spans="27:27" ht="15" customHeight="1">
      <c r="AA213" s="126"/>
    </row>
    <row r="214" spans="27:27" ht="15" customHeight="1">
      <c r="AA214" s="126"/>
    </row>
    <row r="215" spans="27:27" ht="15" customHeight="1">
      <c r="AA215" s="126"/>
    </row>
    <row r="216" spans="27:27" ht="15" customHeight="1">
      <c r="AA216" s="126"/>
    </row>
    <row r="217" spans="27:27" ht="15" customHeight="1">
      <c r="AA217" s="126"/>
    </row>
    <row r="218" spans="27:27" ht="15" customHeight="1">
      <c r="AA218" s="126"/>
    </row>
    <row r="219" spans="27:27" ht="15" customHeight="1">
      <c r="AA219" s="126"/>
    </row>
    <row r="220" spans="27:27" ht="15" customHeight="1">
      <c r="AA220" s="126"/>
    </row>
    <row r="221" spans="27:27" ht="15" customHeight="1">
      <c r="AA221" s="126"/>
    </row>
    <row r="222" spans="27:27" ht="15" customHeight="1">
      <c r="AA222" s="126"/>
    </row>
    <row r="223" spans="27:27" ht="15" customHeight="1">
      <c r="AA223" s="126"/>
    </row>
    <row r="224" spans="27:27" ht="15" customHeight="1">
      <c r="AA224" s="126"/>
    </row>
    <row r="225" spans="27:27" ht="15" customHeight="1">
      <c r="AA225" s="126"/>
    </row>
    <row r="226" spans="27:27" ht="15" customHeight="1">
      <c r="AA226" s="126"/>
    </row>
    <row r="227" spans="27:27" ht="15" customHeight="1">
      <c r="AA227" s="126"/>
    </row>
    <row r="228" spans="27:27" ht="15" customHeight="1">
      <c r="AA228" s="126"/>
    </row>
    <row r="229" spans="27:27" ht="15" customHeight="1">
      <c r="AA229" s="126"/>
    </row>
    <row r="230" spans="27:27" ht="15" customHeight="1">
      <c r="AA230" s="126"/>
    </row>
    <row r="231" spans="27:27" ht="15" customHeight="1">
      <c r="AA231" s="126"/>
    </row>
    <row r="232" spans="27:27" ht="15" customHeight="1">
      <c r="AA232" s="126"/>
    </row>
    <row r="233" spans="27:27" ht="15" customHeight="1">
      <c r="AA233" s="126"/>
    </row>
    <row r="234" spans="27:27" ht="15" customHeight="1">
      <c r="AA234" s="126"/>
    </row>
    <row r="235" spans="27:27" ht="15" customHeight="1">
      <c r="AA235" s="126"/>
    </row>
    <row r="236" spans="27:27" ht="15" customHeight="1">
      <c r="AA236" s="126"/>
    </row>
    <row r="237" spans="27:27" ht="15" customHeight="1">
      <c r="AA237" s="126"/>
    </row>
    <row r="238" spans="27:27" ht="15" customHeight="1">
      <c r="AA238" s="126"/>
    </row>
    <row r="239" spans="27:27" ht="15" customHeight="1">
      <c r="AA239" s="126"/>
    </row>
    <row r="240" spans="27:27" ht="15" customHeight="1">
      <c r="AA240" s="126"/>
    </row>
    <row r="241" spans="27:27" ht="15" customHeight="1">
      <c r="AA241" s="126"/>
    </row>
    <row r="242" spans="27:27" ht="15" customHeight="1">
      <c r="AA242" s="126"/>
    </row>
    <row r="243" spans="27:27" ht="15" customHeight="1">
      <c r="AA243" s="126"/>
    </row>
    <row r="244" spans="27:27" ht="15" customHeight="1">
      <c r="AA244" s="126"/>
    </row>
    <row r="245" spans="27:27" ht="15" customHeight="1">
      <c r="AA245" s="126"/>
    </row>
    <row r="246" spans="27:27" ht="15" customHeight="1">
      <c r="AA246" s="126"/>
    </row>
    <row r="247" spans="27:27" ht="15" customHeight="1">
      <c r="AA247" s="126"/>
    </row>
    <row r="248" spans="27:27" ht="15" customHeight="1">
      <c r="AA248" s="126"/>
    </row>
    <row r="249" spans="27:27" ht="15" customHeight="1">
      <c r="AA249" s="126"/>
    </row>
    <row r="250" spans="27:27" ht="15" customHeight="1">
      <c r="AA250" s="126"/>
    </row>
    <row r="251" spans="27:27" ht="15" customHeight="1">
      <c r="AA251" s="126"/>
    </row>
    <row r="252" spans="27:27" ht="15" customHeight="1">
      <c r="AA252" s="126"/>
    </row>
    <row r="253" spans="27:27" ht="15" customHeight="1">
      <c r="AA253" s="126"/>
    </row>
    <row r="254" spans="27:27" ht="15" customHeight="1">
      <c r="AA254" s="126"/>
    </row>
    <row r="255" spans="27:27" ht="15" customHeight="1">
      <c r="AA255" s="126"/>
    </row>
    <row r="256" spans="27:27" ht="15" customHeight="1">
      <c r="AA256" s="126"/>
    </row>
    <row r="257" spans="27:27" ht="15" customHeight="1">
      <c r="AA257" s="126"/>
    </row>
    <row r="258" spans="27:27" ht="15" customHeight="1">
      <c r="AA258" s="126"/>
    </row>
    <row r="259" spans="27:27" ht="15" customHeight="1">
      <c r="AA259" s="126"/>
    </row>
    <row r="260" spans="27:27" ht="15" customHeight="1">
      <c r="AA260" s="126"/>
    </row>
    <row r="261" spans="27:27" ht="15" customHeight="1">
      <c r="AA261" s="126"/>
    </row>
    <row r="262" spans="27:27" ht="15" customHeight="1">
      <c r="AA262" s="126"/>
    </row>
    <row r="263" spans="27:27" ht="15" customHeight="1">
      <c r="AA263" s="126"/>
    </row>
    <row r="264" spans="27:27" ht="15" customHeight="1">
      <c r="AA264" s="126"/>
    </row>
    <row r="265" spans="27:27" ht="15" customHeight="1">
      <c r="AA265" s="126"/>
    </row>
    <row r="266" spans="27:27" ht="15" customHeight="1">
      <c r="AA266" s="126"/>
    </row>
    <row r="267" spans="27:27" ht="15" customHeight="1">
      <c r="AA267" s="126"/>
    </row>
    <row r="268" spans="27:27" ht="15" customHeight="1">
      <c r="AA268" s="126"/>
    </row>
    <row r="269" spans="27:27" ht="15" customHeight="1">
      <c r="AA269" s="126"/>
    </row>
    <row r="270" spans="27:27" ht="15" customHeight="1">
      <c r="AA270" s="126"/>
    </row>
    <row r="271" spans="27:27" ht="15" customHeight="1">
      <c r="AA271" s="126"/>
    </row>
    <row r="272" spans="27:27" ht="15" customHeight="1">
      <c r="AA272" s="126"/>
    </row>
    <row r="273" spans="27:27" ht="15" customHeight="1">
      <c r="AA273" s="126"/>
    </row>
    <row r="274" spans="27:27" ht="15" customHeight="1">
      <c r="AA274" s="126"/>
    </row>
    <row r="275" spans="27:27" ht="15" customHeight="1">
      <c r="AA275" s="126"/>
    </row>
    <row r="276" spans="27:27" ht="15" customHeight="1">
      <c r="AA276" s="126"/>
    </row>
    <row r="277" spans="27:27" ht="15" customHeight="1">
      <c r="AA277" s="126"/>
    </row>
    <row r="278" spans="27:27" ht="15" customHeight="1">
      <c r="AA278" s="126"/>
    </row>
    <row r="279" spans="27:27" ht="15" customHeight="1">
      <c r="AA279" s="126"/>
    </row>
    <row r="280" spans="27:27" ht="15" customHeight="1">
      <c r="AA280" s="126"/>
    </row>
    <row r="281" spans="27:27" ht="15" customHeight="1">
      <c r="AA281" s="126"/>
    </row>
    <row r="282" spans="27:27" ht="15" customHeight="1">
      <c r="AA282" s="126"/>
    </row>
    <row r="283" spans="27:27" ht="15" customHeight="1">
      <c r="AA283" s="126"/>
    </row>
    <row r="284" spans="27:27" ht="15" customHeight="1">
      <c r="AA284" s="126"/>
    </row>
    <row r="285" spans="27:27" ht="15" customHeight="1">
      <c r="AA285" s="126"/>
    </row>
    <row r="286" spans="27:27" ht="15" customHeight="1">
      <c r="AA286" s="126"/>
    </row>
    <row r="287" spans="27:27" ht="15" customHeight="1">
      <c r="AA287" s="126"/>
    </row>
    <row r="288" spans="27:27" ht="15" customHeight="1">
      <c r="AA288" s="126"/>
    </row>
    <row r="289" spans="27:27" ht="15" customHeight="1">
      <c r="AA289" s="126"/>
    </row>
    <row r="290" spans="27:27" ht="15" customHeight="1">
      <c r="AA290" s="126"/>
    </row>
    <row r="291" spans="27:27" ht="15" customHeight="1">
      <c r="AA291" s="126"/>
    </row>
    <row r="292" spans="27:27" ht="15" customHeight="1">
      <c r="AA292" s="126"/>
    </row>
    <row r="293" spans="27:27" ht="15" customHeight="1">
      <c r="AA293" s="126"/>
    </row>
    <row r="294" spans="27:27" ht="15" customHeight="1">
      <c r="AA294" s="126"/>
    </row>
    <row r="295" spans="27:27" ht="15" customHeight="1">
      <c r="AA295" s="126"/>
    </row>
    <row r="296" spans="27:27" ht="15" customHeight="1">
      <c r="AA296" s="126"/>
    </row>
    <row r="297" spans="27:27" ht="15" customHeight="1">
      <c r="AA297" s="126"/>
    </row>
    <row r="298" spans="27:27" ht="15" customHeight="1">
      <c r="AA298" s="126"/>
    </row>
    <row r="299" spans="27:27" ht="15" customHeight="1">
      <c r="AA299" s="126"/>
    </row>
    <row r="300" spans="27:27" ht="15" customHeight="1">
      <c r="AA300" s="126"/>
    </row>
    <row r="301" spans="27:27" ht="15" customHeight="1">
      <c r="AA301" s="126"/>
    </row>
    <row r="302" spans="27:27" ht="15" customHeight="1">
      <c r="AA302" s="126"/>
    </row>
    <row r="303" spans="27:27" ht="15" customHeight="1">
      <c r="AA303" s="126"/>
    </row>
    <row r="304" spans="27:27" ht="15" customHeight="1">
      <c r="AA304" s="126"/>
    </row>
    <row r="305" spans="27:27" ht="15" customHeight="1">
      <c r="AA305" s="126"/>
    </row>
    <row r="306" spans="27:27" ht="15" customHeight="1">
      <c r="AA306" s="126"/>
    </row>
    <row r="307" spans="27:27" ht="15" customHeight="1">
      <c r="AA307" s="126"/>
    </row>
    <row r="308" spans="27:27" ht="15" customHeight="1">
      <c r="AA308" s="126"/>
    </row>
    <row r="309" spans="27:27" ht="15" customHeight="1">
      <c r="AA309" s="126"/>
    </row>
    <row r="310" spans="27:27" ht="15" customHeight="1">
      <c r="AA310" s="126"/>
    </row>
    <row r="311" spans="27:27" ht="15" customHeight="1">
      <c r="AA311" s="126"/>
    </row>
    <row r="312" spans="27:27" ht="15" customHeight="1">
      <c r="AA312" s="126"/>
    </row>
    <row r="313" spans="27:27" ht="15" customHeight="1">
      <c r="AA313" s="126"/>
    </row>
    <row r="314" spans="27:27" ht="15" customHeight="1">
      <c r="AA314" s="126"/>
    </row>
    <row r="315" spans="27:27" ht="15" customHeight="1">
      <c r="AA315" s="126"/>
    </row>
    <row r="316" spans="27:27" ht="15" customHeight="1">
      <c r="AA316" s="126"/>
    </row>
    <row r="317" spans="27:27" ht="15" customHeight="1">
      <c r="AA317" s="126"/>
    </row>
    <row r="318" spans="27:27" ht="15" customHeight="1">
      <c r="AA318" s="126"/>
    </row>
    <row r="319" spans="27:27" ht="15" customHeight="1">
      <c r="AA319" s="126"/>
    </row>
    <row r="320" spans="27:27" ht="15" customHeight="1">
      <c r="AA320" s="126"/>
    </row>
    <row r="321" spans="27:27" ht="15" customHeight="1">
      <c r="AA321" s="126"/>
    </row>
    <row r="322" spans="27:27" ht="15" customHeight="1">
      <c r="AA322" s="126"/>
    </row>
    <row r="323" spans="27:27" ht="15" customHeight="1">
      <c r="AA323" s="126"/>
    </row>
    <row r="324" spans="27:27" ht="15" customHeight="1">
      <c r="AA324" s="126"/>
    </row>
    <row r="325" spans="27:27" ht="15" customHeight="1">
      <c r="AA325" s="126"/>
    </row>
    <row r="326" spans="27:27" ht="15" customHeight="1">
      <c r="AA326" s="126"/>
    </row>
    <row r="327" spans="27:27" ht="15" customHeight="1">
      <c r="AA327" s="126"/>
    </row>
    <row r="328" spans="27:27" ht="15" customHeight="1">
      <c r="AA328" s="126"/>
    </row>
    <row r="329" spans="27:27" ht="15" customHeight="1">
      <c r="AA329" s="126"/>
    </row>
    <row r="330" spans="27:27" ht="15" customHeight="1">
      <c r="AA330" s="126"/>
    </row>
    <row r="331" spans="27:27" ht="15" customHeight="1">
      <c r="AA331" s="126"/>
    </row>
    <row r="332" spans="27:27" ht="15" customHeight="1">
      <c r="AA332" s="126"/>
    </row>
    <row r="333" spans="27:27" ht="15" customHeight="1">
      <c r="AA333" s="126"/>
    </row>
    <row r="334" spans="27:27" ht="15" customHeight="1">
      <c r="AA334" s="126"/>
    </row>
    <row r="335" spans="27:27" ht="15" customHeight="1">
      <c r="AA335" s="126"/>
    </row>
    <row r="336" spans="27:27" ht="15" customHeight="1">
      <c r="AA336" s="126"/>
    </row>
    <row r="337" spans="27:27" ht="15" customHeight="1">
      <c r="AA337" s="126"/>
    </row>
    <row r="338" spans="27:27" ht="15" customHeight="1">
      <c r="AA338" s="126"/>
    </row>
    <row r="339" spans="27:27" ht="15" customHeight="1">
      <c r="AA339" s="126"/>
    </row>
    <row r="340" spans="27:27" ht="15" customHeight="1">
      <c r="AA340" s="126"/>
    </row>
    <row r="341" spans="27:27" ht="15" customHeight="1">
      <c r="AA341" s="126"/>
    </row>
    <row r="342" spans="27:27" ht="15" customHeight="1">
      <c r="AA342" s="126"/>
    </row>
    <row r="343" spans="27:27" ht="15" customHeight="1">
      <c r="AA343" s="126"/>
    </row>
    <row r="344" spans="27:27" ht="15" customHeight="1">
      <c r="AA344" s="126"/>
    </row>
    <row r="345" spans="27:27" ht="15" customHeight="1">
      <c r="AA345" s="126"/>
    </row>
    <row r="346" spans="27:27" ht="15" customHeight="1">
      <c r="AA346" s="126"/>
    </row>
  </sheetData>
  <sheetProtection sheet="1" formatCells="0" formatColumns="0" formatRows="0"/>
  <mergeCells count="24">
    <mergeCell ref="J44:L44"/>
    <mergeCell ref="D40:H40"/>
    <mergeCell ref="D39:H39"/>
    <mergeCell ref="K38:L38"/>
    <mergeCell ref="G1:I1"/>
    <mergeCell ref="L1:M1"/>
    <mergeCell ref="L2:M2"/>
    <mergeCell ref="B1:E1"/>
    <mergeCell ref="D3:H3"/>
    <mergeCell ref="D139:H139"/>
    <mergeCell ref="D4:H4"/>
    <mergeCell ref="I142:I143"/>
    <mergeCell ref="F38:H38"/>
    <mergeCell ref="D140:H140"/>
    <mergeCell ref="B38:D38"/>
    <mergeCell ref="A44:B44"/>
    <mergeCell ref="A78:B78"/>
    <mergeCell ref="A122:C123"/>
    <mergeCell ref="A45:B45"/>
    <mergeCell ref="A54:B54"/>
    <mergeCell ref="D74:H74"/>
    <mergeCell ref="D109:H109"/>
    <mergeCell ref="D73:H73"/>
    <mergeCell ref="D108:H108"/>
  </mergeCells>
  <hyperlinks>
    <hyperlink ref="A60" location="BSA55P4AuditServiceExpense" display="Audit Service Expense" xr:uid="{00000000-0004-0000-1100-000000000000}"/>
    <hyperlink ref="A86" location="BSA55P4ActivityTripFactors" display="          Activity Trip Level Factor" xr:uid="{00000000-0004-0000-1100-000001000000}"/>
    <hyperlink ref="A63" location="DataEntryOtherInfol2" display="Adjustment for Remote Instructional Time calculated by ADE" xr:uid="{00000000-0004-0000-1100-000002000000}"/>
    <hyperlink ref="A64" location="DataEntryOtherInfol4" display="CTED 9th Grade Funding Adjustment" xr:uid="{00000000-0004-0000-1100-000003000000}"/>
    <hyperlink ref="A65" location="DataEntryOtherInfol5" display="CTED Continuation 13th Grade Funding Adjustment" xr:uid="{00000000-0004-0000-1100-000004000000}"/>
    <hyperlink ref="A3" location="BSA55General" display="Instructions" xr:uid="{00000000-0004-0000-1100-000005000000}"/>
  </hyperlinks>
  <printOptions horizontalCentered="1"/>
  <pageMargins left="0.25" right="0.25" top="0.25" bottom="0.25" header="0" footer="0.15"/>
  <pageSetup paperSize="5" scale="85" fitToWidth="5" fitToHeight="5" orientation="landscape" r:id="rId1"/>
  <headerFooter alignWithMargins="0">
    <oddFooter>&amp;L&amp;"Times New Roman,Bold"&amp;9Rev. 5/26&amp;K000000 Arizona Department of Education and Auditor General&amp;C&amp;"Times New Roman,Regular"&amp;9&amp;D  &amp;T</oddFooter>
  </headerFooter>
  <rowBreaks count="4" manualBreakCount="4">
    <brk id="39" max="12" man="1"/>
    <brk id="73" max="12" man="1"/>
    <brk id="108" max="12" man="1"/>
    <brk id="139" max="12"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N178"/>
  <sheetViews>
    <sheetView showGridLines="0" topLeftCell="A99" zoomScaleNormal="100" workbookViewId="0">
      <selection activeCell="C104" sqref="C104"/>
    </sheetView>
  </sheetViews>
  <sheetFormatPr defaultColWidth="8.81640625" defaultRowHeight="18.75" customHeight="1"/>
  <cols>
    <col min="1" max="1" width="15.81640625" style="1061" customWidth="1"/>
    <col min="2" max="2" width="15" style="1052" customWidth="1"/>
    <col min="3" max="3" width="79" style="1061" customWidth="1"/>
    <col min="4" max="4" width="25.81640625" style="1062" customWidth="1"/>
    <col min="5" max="5" width="32.81640625" style="1038" customWidth="1"/>
    <col min="6" max="6" width="40.81640625" style="1038" customWidth="1"/>
    <col min="7" max="11" width="8.81640625" style="1038" customWidth="1"/>
    <col min="12" max="12" width="10" style="1038" customWidth="1"/>
    <col min="13" max="15" width="8.81640625" style="1038" customWidth="1"/>
    <col min="16" max="16384" width="8.81640625" style="1038"/>
  </cols>
  <sheetData>
    <row r="1" spans="1:11" ht="40.5" customHeight="1">
      <c r="A1" s="1036" t="s">
        <v>689</v>
      </c>
      <c r="B1" s="1036" t="s">
        <v>690</v>
      </c>
      <c r="C1" s="1036" t="s">
        <v>691</v>
      </c>
      <c r="D1" s="1036" t="s">
        <v>1178</v>
      </c>
      <c r="E1" s="1037" t="s">
        <v>1179</v>
      </c>
    </row>
    <row r="2" spans="1:11" ht="259.5" customHeight="1">
      <c r="A2" s="1325"/>
      <c r="B2" s="1327" t="s">
        <v>396</v>
      </c>
      <c r="C2" s="1039" t="s">
        <v>944</v>
      </c>
      <c r="D2" s="1329"/>
      <c r="E2" s="1040"/>
    </row>
    <row r="3" spans="1:11" ht="24" customHeight="1">
      <c r="A3" s="1326"/>
      <c r="B3" s="1328"/>
      <c r="C3" s="1041" t="s">
        <v>692</v>
      </c>
      <c r="D3" s="1330"/>
      <c r="E3" s="1326"/>
    </row>
    <row r="4" spans="1:11" ht="138" customHeight="1">
      <c r="A4" s="1042"/>
      <c r="B4" s="1043" t="s">
        <v>396</v>
      </c>
      <c r="C4" s="1039" t="s">
        <v>1180</v>
      </c>
      <c r="D4" s="1044"/>
      <c r="E4" s="1042"/>
      <c r="F4" s="443"/>
      <c r="K4" s="1457"/>
    </row>
    <row r="5" spans="1:11" ht="44.25" customHeight="1">
      <c r="A5" s="1042"/>
      <c r="B5" s="1043" t="s">
        <v>396</v>
      </c>
      <c r="C5" s="1039" t="s">
        <v>693</v>
      </c>
      <c r="D5" s="1044"/>
      <c r="E5" s="1042" t="s">
        <v>694</v>
      </c>
    </row>
    <row r="6" spans="1:11" ht="288">
      <c r="A6" s="1042"/>
      <c r="B6" s="1043" t="s">
        <v>695</v>
      </c>
      <c r="C6" s="1039" t="s">
        <v>696</v>
      </c>
      <c r="D6" s="1362" t="s">
        <v>412</v>
      </c>
      <c r="E6" s="1042"/>
    </row>
    <row r="7" spans="1:11" ht="45.75" customHeight="1">
      <c r="A7" s="1042"/>
      <c r="B7" s="1043" t="s">
        <v>697</v>
      </c>
      <c r="C7" s="1039" t="s">
        <v>1181</v>
      </c>
      <c r="D7" s="1362" t="s">
        <v>412</v>
      </c>
      <c r="E7" s="1042"/>
    </row>
    <row r="8" spans="1:11" ht="154.5" customHeight="1">
      <c r="A8" s="1495" t="s">
        <v>698</v>
      </c>
      <c r="B8" s="1043" t="s">
        <v>908</v>
      </c>
      <c r="C8" s="1039" t="s">
        <v>938</v>
      </c>
      <c r="D8" s="1044"/>
      <c r="E8" s="1042"/>
    </row>
    <row r="9" spans="1:11" ht="136.5" customHeight="1">
      <c r="A9" s="1495" t="s">
        <v>698</v>
      </c>
      <c r="B9" s="1043" t="s">
        <v>699</v>
      </c>
      <c r="C9" s="1039" t="s">
        <v>1182</v>
      </c>
      <c r="D9" s="1044"/>
      <c r="E9" s="1042"/>
      <c r="K9" s="1457"/>
    </row>
    <row r="10" spans="1:11" ht="228.75" customHeight="1">
      <c r="A10" s="1495" t="s">
        <v>698</v>
      </c>
      <c r="B10" s="1043" t="s">
        <v>700</v>
      </c>
      <c r="C10" s="1039" t="s">
        <v>701</v>
      </c>
      <c r="D10" s="1362" t="s">
        <v>412</v>
      </c>
      <c r="E10" s="1042"/>
    </row>
    <row r="11" spans="1:11" ht="76.5" customHeight="1">
      <c r="A11" s="1904">
        <v>1</v>
      </c>
      <c r="B11" s="1902" t="s">
        <v>702</v>
      </c>
      <c r="C11" s="1207" t="s">
        <v>1183</v>
      </c>
      <c r="D11" s="1910"/>
      <c r="E11" s="1906"/>
    </row>
    <row r="12" spans="1:11" ht="19.5" customHeight="1">
      <c r="A12" s="1905"/>
      <c r="B12" s="1903"/>
      <c r="C12" s="1045" t="s">
        <v>703</v>
      </c>
      <c r="D12" s="1911"/>
      <c r="E12" s="1907"/>
    </row>
    <row r="13" spans="1:11" ht="133.5" customHeight="1">
      <c r="A13" s="1493">
        <v>1</v>
      </c>
      <c r="B13" s="1043" t="s">
        <v>704</v>
      </c>
      <c r="C13" s="1039" t="s">
        <v>705</v>
      </c>
      <c r="D13" s="1362" t="s">
        <v>412</v>
      </c>
      <c r="E13" s="1042"/>
    </row>
    <row r="14" spans="1:11" ht="64.5" customHeight="1">
      <c r="A14" s="1493">
        <v>1</v>
      </c>
      <c r="B14" s="1043" t="s">
        <v>706</v>
      </c>
      <c r="C14" s="1039" t="s">
        <v>1184</v>
      </c>
      <c r="D14" s="1044"/>
      <c r="E14" s="1042"/>
    </row>
    <row r="15" spans="1:11" ht="151.5" customHeight="1">
      <c r="A15" s="1493">
        <v>1</v>
      </c>
      <c r="B15" s="1043" t="s">
        <v>707</v>
      </c>
      <c r="C15" s="1039" t="s">
        <v>708</v>
      </c>
      <c r="D15" s="1044"/>
      <c r="E15" s="1042"/>
    </row>
    <row r="16" spans="1:11" ht="135" customHeight="1">
      <c r="A16" s="1904">
        <v>1</v>
      </c>
      <c r="B16" s="1902" t="s">
        <v>709</v>
      </c>
      <c r="C16" s="1046" t="s">
        <v>710</v>
      </c>
      <c r="D16" s="1910"/>
      <c r="E16" s="1908"/>
    </row>
    <row r="17" spans="1:13" ht="21" customHeight="1">
      <c r="A17" s="1905"/>
      <c r="B17" s="1903"/>
      <c r="C17" s="1045" t="s">
        <v>711</v>
      </c>
      <c r="D17" s="1911"/>
      <c r="E17" s="1909"/>
    </row>
    <row r="18" spans="1:13" ht="79.5" customHeight="1">
      <c r="A18" s="1493">
        <v>1</v>
      </c>
      <c r="B18" s="1902" t="s">
        <v>957</v>
      </c>
      <c r="C18" s="1054" t="s">
        <v>1185</v>
      </c>
      <c r="D18" s="1044"/>
      <c r="E18" s="1042"/>
    </row>
    <row r="19" spans="1:13" ht="97.5" customHeight="1">
      <c r="A19" s="1493" t="s">
        <v>911</v>
      </c>
      <c r="B19" s="1903" t="s">
        <v>963</v>
      </c>
      <c r="C19" s="1054" t="s">
        <v>1186</v>
      </c>
      <c r="D19" s="1044"/>
      <c r="E19" s="1042"/>
    </row>
    <row r="20" spans="1:13" ht="94.5" customHeight="1">
      <c r="A20" s="1493">
        <v>1</v>
      </c>
      <c r="B20" s="1328" t="s">
        <v>932</v>
      </c>
      <c r="C20" s="1054" t="s">
        <v>959</v>
      </c>
      <c r="D20" s="1330"/>
      <c r="E20" s="1460"/>
    </row>
    <row r="21" spans="1:13" ht="150.75" customHeight="1">
      <c r="A21" s="1493">
        <v>2</v>
      </c>
      <c r="B21" s="1043" t="s">
        <v>712</v>
      </c>
      <c r="C21" s="1039" t="s">
        <v>713</v>
      </c>
      <c r="D21" s="1044"/>
      <c r="E21" s="1047"/>
    </row>
    <row r="22" spans="1:13" ht="63" customHeight="1">
      <c r="A22" s="1493">
        <v>2</v>
      </c>
      <c r="B22" s="1043" t="s">
        <v>714</v>
      </c>
      <c r="C22" s="1048" t="s">
        <v>715</v>
      </c>
      <c r="D22" s="1044"/>
      <c r="E22" s="1042"/>
    </row>
    <row r="23" spans="1:13" ht="62.25" customHeight="1">
      <c r="A23" s="1493">
        <v>2</v>
      </c>
      <c r="B23" s="1043" t="s">
        <v>716</v>
      </c>
      <c r="C23" s="1039" t="s">
        <v>717</v>
      </c>
      <c r="D23" s="1044"/>
      <c r="E23" s="1042"/>
    </row>
    <row r="24" spans="1:13" ht="221.25" customHeight="1">
      <c r="A24" s="1493">
        <v>2</v>
      </c>
      <c r="B24" s="1043" t="s">
        <v>718</v>
      </c>
      <c r="C24" s="1039" t="s">
        <v>1187</v>
      </c>
      <c r="D24" s="1362" t="s">
        <v>412</v>
      </c>
      <c r="E24" s="1042"/>
      <c r="F24" s="443"/>
      <c r="K24" s="1457"/>
      <c r="L24" s="1457"/>
    </row>
    <row r="25" spans="1:13" ht="118.5" customHeight="1">
      <c r="A25" s="1493">
        <v>3</v>
      </c>
      <c r="B25" s="1043" t="s">
        <v>396</v>
      </c>
      <c r="C25" s="1039" t="s">
        <v>719</v>
      </c>
      <c r="D25" s="1044"/>
      <c r="E25" s="1047"/>
    </row>
    <row r="26" spans="1:13" ht="45" customHeight="1">
      <c r="A26" s="1493">
        <v>3</v>
      </c>
      <c r="B26" s="1043" t="s">
        <v>702</v>
      </c>
      <c r="C26" s="1049" t="s">
        <v>720</v>
      </c>
      <c r="D26" s="1044"/>
      <c r="E26" s="1047"/>
    </row>
    <row r="27" spans="1:13" ht="82.5" customHeight="1">
      <c r="A27" s="1493">
        <v>3</v>
      </c>
      <c r="B27" s="1328" t="s">
        <v>704</v>
      </c>
      <c r="C27" s="1054" t="s">
        <v>1188</v>
      </c>
      <c r="D27" s="1044"/>
      <c r="E27" s="1047"/>
    </row>
    <row r="28" spans="1:13" ht="80.25" customHeight="1">
      <c r="A28" s="1493">
        <v>3</v>
      </c>
      <c r="B28" s="1328" t="s">
        <v>942</v>
      </c>
      <c r="C28" s="1360" t="s">
        <v>945</v>
      </c>
      <c r="D28" s="1330"/>
      <c r="E28" s="1460"/>
    </row>
    <row r="29" spans="1:13" ht="61.5" customHeight="1">
      <c r="A29" s="1493">
        <v>3</v>
      </c>
      <c r="B29" s="1043" t="s">
        <v>922</v>
      </c>
      <c r="C29" s="1039" t="s">
        <v>921</v>
      </c>
      <c r="D29" s="1362" t="s">
        <v>412</v>
      </c>
      <c r="E29" s="1047"/>
    </row>
    <row r="30" spans="1:13" ht="65.25" customHeight="1">
      <c r="A30" s="1493">
        <v>3</v>
      </c>
      <c r="B30" s="1043" t="s">
        <v>722</v>
      </c>
      <c r="C30" s="1039" t="s">
        <v>915</v>
      </c>
      <c r="D30" s="1362" t="s">
        <v>412</v>
      </c>
      <c r="E30" s="1042"/>
    </row>
    <row r="31" spans="1:13" ht="204" customHeight="1">
      <c r="A31" s="1493">
        <v>3</v>
      </c>
      <c r="B31" s="1043" t="s">
        <v>893</v>
      </c>
      <c r="C31" s="1042" t="s">
        <v>946</v>
      </c>
      <c r="D31" s="1338"/>
      <c r="E31" s="1042"/>
      <c r="M31" s="1457"/>
    </row>
    <row r="32" spans="1:13" ht="19.5" customHeight="1">
      <c r="A32" s="1042"/>
      <c r="B32" s="1043"/>
      <c r="C32" s="1045" t="s">
        <v>721</v>
      </c>
      <c r="D32" s="1044"/>
      <c r="E32" s="1042"/>
    </row>
    <row r="33" spans="1:13" ht="66.45" customHeight="1">
      <c r="A33" s="1493">
        <v>3</v>
      </c>
      <c r="B33" s="1043" t="s">
        <v>923</v>
      </c>
      <c r="C33" s="1039" t="s">
        <v>1189</v>
      </c>
      <c r="D33" s="1044"/>
      <c r="E33" s="1042"/>
    </row>
    <row r="34" spans="1:13" ht="79.5" customHeight="1">
      <c r="A34" s="1512">
        <v>4</v>
      </c>
      <c r="B34" s="1328" t="s">
        <v>933</v>
      </c>
      <c r="C34" s="1054" t="s">
        <v>1380</v>
      </c>
      <c r="D34" s="1044"/>
      <c r="E34" s="1047"/>
    </row>
    <row r="35" spans="1:13" ht="102.75" customHeight="1">
      <c r="A35" s="1512">
        <v>4</v>
      </c>
      <c r="B35" s="1328" t="s">
        <v>934</v>
      </c>
      <c r="C35" s="1054" t="s">
        <v>1190</v>
      </c>
      <c r="D35" s="1330"/>
      <c r="E35" s="1460"/>
    </row>
    <row r="36" spans="1:13" ht="208.5" customHeight="1">
      <c r="A36" s="1512">
        <v>4</v>
      </c>
      <c r="B36" s="1043" t="s">
        <v>724</v>
      </c>
      <c r="C36" s="1039" t="s">
        <v>1191</v>
      </c>
      <c r="D36" s="1362" t="s">
        <v>412</v>
      </c>
      <c r="E36" s="1042"/>
      <c r="K36" s="1457"/>
      <c r="L36" s="1457"/>
      <c r="M36" s="1457"/>
    </row>
    <row r="37" spans="1:13" ht="242.25" customHeight="1">
      <c r="A37" s="1493">
        <v>5</v>
      </c>
      <c r="B37" s="1043" t="s">
        <v>725</v>
      </c>
      <c r="C37" s="1039" t="s">
        <v>726</v>
      </c>
      <c r="D37" s="1044"/>
      <c r="E37" s="1039"/>
    </row>
    <row r="38" spans="1:13" ht="151.5" customHeight="1">
      <c r="A38" s="1493">
        <v>5</v>
      </c>
      <c r="B38" s="1043" t="s">
        <v>727</v>
      </c>
      <c r="C38" s="1039" t="s">
        <v>728</v>
      </c>
      <c r="D38" s="1044"/>
      <c r="E38" s="1042"/>
    </row>
    <row r="39" spans="1:13" ht="98.25" customHeight="1">
      <c r="A39" s="1493">
        <v>6</v>
      </c>
      <c r="B39" s="1043" t="s">
        <v>729</v>
      </c>
      <c r="C39" s="1039" t="s">
        <v>730</v>
      </c>
      <c r="D39" s="1044"/>
      <c r="E39" s="1042"/>
    </row>
    <row r="40" spans="1:13" ht="59.25" customHeight="1">
      <c r="A40" s="1493">
        <v>6</v>
      </c>
      <c r="B40" s="1043" t="s">
        <v>731</v>
      </c>
      <c r="C40" s="1039" t="s">
        <v>913</v>
      </c>
      <c r="D40" s="1044"/>
      <c r="E40" s="1042"/>
      <c r="G40" s="1458"/>
    </row>
    <row r="41" spans="1:13" ht="206.25" customHeight="1">
      <c r="A41" s="1493">
        <v>6</v>
      </c>
      <c r="B41" s="1043" t="s">
        <v>947</v>
      </c>
      <c r="C41" s="1039" t="s">
        <v>732</v>
      </c>
      <c r="D41" s="1044"/>
      <c r="E41" s="1042"/>
    </row>
    <row r="42" spans="1:13" ht="63" customHeight="1">
      <c r="A42" s="1493">
        <v>6</v>
      </c>
      <c r="B42" s="1043" t="s">
        <v>929</v>
      </c>
      <c r="C42" s="1039" t="s">
        <v>948</v>
      </c>
      <c r="D42" s="1044"/>
      <c r="E42" s="1260"/>
    </row>
    <row r="43" spans="1:13" ht="43.5" customHeight="1">
      <c r="A43" s="1493">
        <v>6</v>
      </c>
      <c r="B43" s="1043" t="s">
        <v>733</v>
      </c>
      <c r="C43" s="1039" t="s">
        <v>734</v>
      </c>
      <c r="D43" s="1044"/>
      <c r="E43" s="1042"/>
    </row>
    <row r="44" spans="1:13" ht="115.5" customHeight="1">
      <c r="A44" s="1493">
        <v>6</v>
      </c>
      <c r="B44" s="1043" t="s">
        <v>735</v>
      </c>
      <c r="C44" s="1039" t="s">
        <v>736</v>
      </c>
      <c r="D44" s="1044"/>
      <c r="E44" s="1042"/>
    </row>
    <row r="45" spans="1:13" ht="301.5" customHeight="1">
      <c r="A45" s="1493">
        <v>6</v>
      </c>
      <c r="B45" s="1043" t="s">
        <v>737</v>
      </c>
      <c r="C45" s="1039" t="s">
        <v>738</v>
      </c>
      <c r="D45" s="1044"/>
      <c r="E45" s="1042"/>
    </row>
    <row r="46" spans="1:13" ht="97.5" customHeight="1">
      <c r="A46" s="1493">
        <v>6</v>
      </c>
      <c r="B46" s="1043" t="s">
        <v>739</v>
      </c>
      <c r="C46" s="1039" t="s">
        <v>740</v>
      </c>
      <c r="D46" s="1044"/>
      <c r="E46" s="1042"/>
    </row>
    <row r="47" spans="1:13" ht="61.5" customHeight="1">
      <c r="A47" s="1493">
        <v>6</v>
      </c>
      <c r="B47" s="1043" t="s">
        <v>741</v>
      </c>
      <c r="C47" s="1039" t="s">
        <v>742</v>
      </c>
      <c r="D47" s="1044"/>
      <c r="E47" s="1042"/>
    </row>
    <row r="48" spans="1:13" ht="69.45" customHeight="1">
      <c r="A48" s="1493">
        <v>6</v>
      </c>
      <c r="B48" s="1263" t="s">
        <v>743</v>
      </c>
      <c r="C48" s="1039" t="s">
        <v>1381</v>
      </c>
      <c r="D48" s="1044"/>
      <c r="E48" s="1042"/>
    </row>
    <row r="49" spans="1:13" ht="63" customHeight="1">
      <c r="A49" s="1493">
        <v>6</v>
      </c>
      <c r="B49" s="1043" t="s">
        <v>744</v>
      </c>
      <c r="C49" s="1039" t="s">
        <v>745</v>
      </c>
      <c r="D49" s="1044"/>
      <c r="E49" s="1042"/>
    </row>
    <row r="50" spans="1:13" ht="234">
      <c r="A50" s="1493">
        <v>7</v>
      </c>
      <c r="B50" s="1043" t="s">
        <v>396</v>
      </c>
      <c r="C50" s="1039" t="s">
        <v>746</v>
      </c>
      <c r="D50" s="1362" t="s">
        <v>412</v>
      </c>
      <c r="E50" s="1494"/>
    </row>
    <row r="51" spans="1:13" ht="117" customHeight="1">
      <c r="A51" s="1493">
        <v>7</v>
      </c>
      <c r="B51" s="1043" t="s">
        <v>747</v>
      </c>
      <c r="C51" s="1039" t="s">
        <v>916</v>
      </c>
      <c r="D51" s="1362" t="s">
        <v>412</v>
      </c>
      <c r="E51" s="1042"/>
    </row>
    <row r="52" spans="1:13" ht="101.25" customHeight="1">
      <c r="A52" s="1493">
        <v>7</v>
      </c>
      <c r="B52" s="1043" t="s">
        <v>748</v>
      </c>
      <c r="C52" s="1039" t="s">
        <v>1192</v>
      </c>
      <c r="D52" s="1362" t="s">
        <v>412</v>
      </c>
      <c r="E52" s="1042"/>
    </row>
    <row r="53" spans="1:13" ht="43.5" customHeight="1">
      <c r="A53" s="1493">
        <v>7</v>
      </c>
      <c r="B53" s="1043" t="s">
        <v>749</v>
      </c>
      <c r="C53" s="1039" t="s">
        <v>750</v>
      </c>
      <c r="D53" s="1044"/>
      <c r="E53" s="1047"/>
      <c r="F53" s="1459"/>
    </row>
    <row r="54" spans="1:13" ht="171" customHeight="1">
      <c r="A54" s="1493">
        <v>7</v>
      </c>
      <c r="B54" s="1043" t="s">
        <v>751</v>
      </c>
      <c r="C54" s="1208" t="s">
        <v>1193</v>
      </c>
      <c r="D54" s="1044"/>
      <c r="E54" s="1042"/>
      <c r="K54" s="1457"/>
      <c r="L54" s="1457"/>
    </row>
    <row r="55" spans="1:13" ht="36">
      <c r="A55" s="1042"/>
      <c r="B55" s="1043"/>
      <c r="C55" s="1050" t="s">
        <v>752</v>
      </c>
      <c r="D55" s="1044"/>
      <c r="E55" s="1042"/>
    </row>
    <row r="56" spans="1:13" ht="169.5" customHeight="1">
      <c r="A56" s="1493">
        <v>7</v>
      </c>
      <c r="B56" s="1043" t="s">
        <v>753</v>
      </c>
      <c r="C56" s="1039" t="s">
        <v>1194</v>
      </c>
      <c r="D56" s="1044"/>
      <c r="E56" s="1042"/>
      <c r="K56" s="1457"/>
      <c r="L56" s="1457"/>
    </row>
    <row r="57" spans="1:13" ht="79.5" customHeight="1">
      <c r="A57" s="1493">
        <v>7</v>
      </c>
      <c r="B57" s="1043" t="s">
        <v>754</v>
      </c>
      <c r="C57" s="1039" t="s">
        <v>755</v>
      </c>
      <c r="D57" s="1044"/>
      <c r="E57" s="1042"/>
    </row>
    <row r="58" spans="1:13" ht="210" customHeight="1">
      <c r="A58" s="1493">
        <v>7</v>
      </c>
      <c r="B58" s="1043" t="s">
        <v>756</v>
      </c>
      <c r="C58" s="1039" t="s">
        <v>1195</v>
      </c>
      <c r="D58" s="1044"/>
      <c r="E58" s="1042"/>
      <c r="K58" s="1457"/>
      <c r="L58" s="1457"/>
      <c r="M58" s="1457"/>
    </row>
    <row r="59" spans="1:13" ht="208.5" customHeight="1">
      <c r="A59" s="1493">
        <v>7</v>
      </c>
      <c r="B59" s="1043" t="s">
        <v>757</v>
      </c>
      <c r="C59" s="1039" t="s">
        <v>949</v>
      </c>
      <c r="D59" s="1044"/>
      <c r="E59" s="1042"/>
      <c r="K59" s="1457"/>
      <c r="L59" s="1457"/>
      <c r="M59" s="1457"/>
    </row>
    <row r="60" spans="1:13" ht="151.5" customHeight="1">
      <c r="A60" s="1493">
        <v>7</v>
      </c>
      <c r="B60" s="1043" t="s">
        <v>758</v>
      </c>
      <c r="C60" s="1039" t="s">
        <v>759</v>
      </c>
      <c r="D60" s="1362" t="s">
        <v>412</v>
      </c>
      <c r="E60" s="1042"/>
    </row>
    <row r="61" spans="1:13" ht="264" customHeight="1">
      <c r="A61" s="1493">
        <v>7</v>
      </c>
      <c r="B61" s="1043" t="s">
        <v>702</v>
      </c>
      <c r="C61" s="1039" t="s">
        <v>1196</v>
      </c>
      <c r="D61" s="1362" t="s">
        <v>412</v>
      </c>
      <c r="E61" s="1042"/>
      <c r="K61" s="1457"/>
      <c r="L61" s="1457"/>
      <c r="M61" s="1457"/>
    </row>
    <row r="62" spans="1:13" ht="28.5" customHeight="1">
      <c r="A62" s="1043"/>
      <c r="B62" s="1043"/>
      <c r="C62" s="1041" t="s">
        <v>760</v>
      </c>
      <c r="D62" s="1335"/>
      <c r="E62" s="1042"/>
    </row>
    <row r="63" spans="1:13" ht="154.5" customHeight="1">
      <c r="A63" s="1493">
        <v>7</v>
      </c>
      <c r="B63" s="1043" t="s">
        <v>761</v>
      </c>
      <c r="C63" s="1039" t="s">
        <v>762</v>
      </c>
      <c r="D63" s="1362" t="s">
        <v>412</v>
      </c>
      <c r="E63" s="1042"/>
    </row>
    <row r="64" spans="1:13" ht="39" customHeight="1">
      <c r="A64" s="1493">
        <v>7</v>
      </c>
      <c r="B64" s="1043" t="s">
        <v>763</v>
      </c>
      <c r="C64" s="1039" t="s">
        <v>764</v>
      </c>
      <c r="D64" s="1044"/>
      <c r="E64" s="1042"/>
    </row>
    <row r="65" spans="1:14" ht="27.75" customHeight="1">
      <c r="A65" s="1043"/>
      <c r="B65" s="1043"/>
      <c r="C65" s="1051" t="s">
        <v>765</v>
      </c>
      <c r="D65" s="1044"/>
      <c r="E65" s="1042"/>
    </row>
    <row r="66" spans="1:14" ht="189.75" customHeight="1">
      <c r="A66" s="1493">
        <v>7</v>
      </c>
      <c r="B66" s="1043" t="s">
        <v>766</v>
      </c>
      <c r="C66" s="1039" t="s">
        <v>1197</v>
      </c>
      <c r="D66" s="1362" t="s">
        <v>412</v>
      </c>
      <c r="E66" s="1042"/>
      <c r="K66" s="1457"/>
      <c r="L66" s="1457"/>
    </row>
    <row r="67" spans="1:14" ht="30" customHeight="1">
      <c r="A67" s="1043"/>
      <c r="B67" s="1043"/>
      <c r="C67" s="1051" t="s">
        <v>765</v>
      </c>
      <c r="D67" s="1044"/>
      <c r="E67" s="1042"/>
    </row>
    <row r="68" spans="1:14" ht="387.75" customHeight="1">
      <c r="A68" s="1493">
        <v>7</v>
      </c>
      <c r="B68" s="1043" t="s">
        <v>767</v>
      </c>
      <c r="C68" s="1039" t="s">
        <v>1382</v>
      </c>
      <c r="D68" s="1362" t="s">
        <v>412</v>
      </c>
      <c r="E68" s="1042"/>
      <c r="K68" s="1457"/>
      <c r="L68" s="1457"/>
      <c r="M68" s="1457"/>
      <c r="N68" s="1457"/>
    </row>
    <row r="69" spans="1:14" ht="79.5" customHeight="1">
      <c r="A69" s="1493">
        <v>7</v>
      </c>
      <c r="B69" s="1043" t="s">
        <v>768</v>
      </c>
      <c r="C69" s="1039" t="s">
        <v>769</v>
      </c>
      <c r="D69" s="1044"/>
      <c r="E69" s="1042"/>
    </row>
    <row r="70" spans="1:14" ht="315.75" customHeight="1">
      <c r="A70" s="1493">
        <v>7</v>
      </c>
      <c r="B70" s="1043" t="s">
        <v>770</v>
      </c>
      <c r="C70" s="1039" t="s">
        <v>950</v>
      </c>
      <c r="D70" s="1362" t="s">
        <v>412</v>
      </c>
      <c r="E70" s="1042"/>
      <c r="K70" s="1457"/>
      <c r="L70" s="1457"/>
      <c r="M70" s="1457"/>
      <c r="N70" s="1457"/>
    </row>
    <row r="71" spans="1:14" ht="102.75" customHeight="1">
      <c r="A71" s="1493">
        <v>7</v>
      </c>
      <c r="B71" s="1043" t="s">
        <v>771</v>
      </c>
      <c r="C71" s="1039" t="s">
        <v>1199</v>
      </c>
      <c r="D71" s="1044"/>
      <c r="E71" s="1042"/>
      <c r="K71" s="1457"/>
    </row>
    <row r="72" spans="1:14" ht="172.5" customHeight="1">
      <c r="A72" s="1493">
        <v>7</v>
      </c>
      <c r="B72" s="1043" t="s">
        <v>772</v>
      </c>
      <c r="C72" s="1039" t="s">
        <v>1200</v>
      </c>
      <c r="D72" s="1044"/>
      <c r="E72" s="1042"/>
      <c r="K72" s="1457"/>
      <c r="L72" s="1457"/>
    </row>
    <row r="73" spans="1:14" ht="153" customHeight="1">
      <c r="A73" s="1493">
        <v>7</v>
      </c>
      <c r="B73" s="1043" t="s">
        <v>773</v>
      </c>
      <c r="C73" s="1048" t="s">
        <v>774</v>
      </c>
      <c r="D73" s="1044"/>
      <c r="E73" s="1042"/>
    </row>
    <row r="74" spans="1:14" ht="117" customHeight="1">
      <c r="A74" s="1493">
        <v>7</v>
      </c>
      <c r="B74" s="1043" t="s">
        <v>775</v>
      </c>
      <c r="C74" s="1039" t="s">
        <v>1201</v>
      </c>
      <c r="D74" s="1362" t="s">
        <v>412</v>
      </c>
      <c r="E74" s="1042"/>
      <c r="K74" s="1457"/>
    </row>
    <row r="75" spans="1:14" ht="79.5" customHeight="1">
      <c r="A75" s="1493">
        <v>7</v>
      </c>
      <c r="B75" s="1043" t="s">
        <v>776</v>
      </c>
      <c r="C75" s="1039" t="s">
        <v>1202</v>
      </c>
      <c r="D75" s="1044"/>
      <c r="E75" s="1042"/>
    </row>
    <row r="76" spans="1:14" ht="18">
      <c r="A76" s="1043"/>
      <c r="C76" s="1045" t="s">
        <v>777</v>
      </c>
      <c r="D76" s="1044"/>
      <c r="E76" s="1042"/>
    </row>
    <row r="77" spans="1:14" ht="135" customHeight="1">
      <c r="A77" s="1493">
        <v>7</v>
      </c>
      <c r="B77" s="1043" t="s">
        <v>778</v>
      </c>
      <c r="C77" s="1039" t="s">
        <v>779</v>
      </c>
      <c r="D77" s="1372" t="s">
        <v>412</v>
      </c>
      <c r="E77" s="1042"/>
    </row>
    <row r="78" spans="1:14" ht="189" customHeight="1">
      <c r="A78" s="1493">
        <v>7</v>
      </c>
      <c r="B78" s="1043" t="s">
        <v>704</v>
      </c>
      <c r="C78" s="1039" t="s">
        <v>1203</v>
      </c>
      <c r="D78" s="1372" t="s">
        <v>412</v>
      </c>
      <c r="E78" s="1042"/>
      <c r="K78" s="1457"/>
      <c r="L78" s="1457"/>
    </row>
    <row r="79" spans="1:14" ht="117" customHeight="1">
      <c r="A79" s="1493">
        <v>8</v>
      </c>
      <c r="B79" s="1043" t="s">
        <v>780</v>
      </c>
      <c r="C79" s="1039" t="s">
        <v>1205</v>
      </c>
      <c r="D79" s="1362" t="s">
        <v>412</v>
      </c>
      <c r="E79" s="1042"/>
      <c r="K79" s="1457"/>
    </row>
    <row r="80" spans="1:14" ht="18">
      <c r="A80" s="1043"/>
      <c r="B80" s="1043"/>
      <c r="C80" s="1045" t="s">
        <v>781</v>
      </c>
      <c r="D80" s="1335"/>
      <c r="E80" s="1042"/>
    </row>
    <row r="81" spans="1:12" ht="80.25" customHeight="1">
      <c r="A81" s="1493">
        <v>8</v>
      </c>
      <c r="B81" s="1043" t="s">
        <v>782</v>
      </c>
      <c r="C81" s="1039" t="s">
        <v>1206</v>
      </c>
      <c r="D81" s="1362" t="s">
        <v>412</v>
      </c>
      <c r="E81" s="1042"/>
      <c r="K81" s="1457"/>
    </row>
    <row r="82" spans="1:12" ht="18">
      <c r="A82" s="1043"/>
      <c r="B82" s="1043"/>
      <c r="C82" s="1045" t="s">
        <v>781</v>
      </c>
      <c r="D82" s="1335"/>
      <c r="E82" s="1042"/>
    </row>
    <row r="83" spans="1:12" ht="96.75" customHeight="1">
      <c r="A83" s="1493">
        <v>8</v>
      </c>
      <c r="B83" s="1043" t="s">
        <v>766</v>
      </c>
      <c r="C83" s="1039" t="s">
        <v>1207</v>
      </c>
      <c r="D83" s="1362" t="s">
        <v>412</v>
      </c>
      <c r="E83" s="1042"/>
      <c r="K83" s="1457"/>
    </row>
    <row r="84" spans="1:12" ht="64.5" customHeight="1">
      <c r="A84" s="1493">
        <v>8</v>
      </c>
      <c r="B84" s="1043" t="s">
        <v>783</v>
      </c>
      <c r="C84" s="1039" t="s">
        <v>1208</v>
      </c>
      <c r="D84" s="1362" t="s">
        <v>412</v>
      </c>
      <c r="E84" s="1042"/>
    </row>
    <row r="85" spans="1:12" ht="117" customHeight="1">
      <c r="A85" s="1493">
        <v>8</v>
      </c>
      <c r="B85" s="1043" t="s">
        <v>704</v>
      </c>
      <c r="C85" s="1039" t="s">
        <v>784</v>
      </c>
      <c r="D85" s="1362" t="s">
        <v>412</v>
      </c>
      <c r="E85" s="1042"/>
    </row>
    <row r="86" spans="1:12" ht="18">
      <c r="A86" s="1043"/>
      <c r="B86" s="1043"/>
      <c r="C86" s="1045" t="s">
        <v>781</v>
      </c>
      <c r="D86" s="1335"/>
      <c r="E86" s="1042"/>
    </row>
    <row r="87" spans="1:12" ht="115.5" customHeight="1">
      <c r="A87" s="1493">
        <v>8</v>
      </c>
      <c r="B87" s="1043" t="s">
        <v>723</v>
      </c>
      <c r="C87" s="1039" t="s">
        <v>1209</v>
      </c>
      <c r="D87" s="1044"/>
      <c r="E87" s="1042"/>
    </row>
    <row r="88" spans="1:12" ht="18">
      <c r="A88" s="1043"/>
      <c r="B88" s="1043"/>
      <c r="C88" s="1045" t="s">
        <v>781</v>
      </c>
      <c r="D88" s="1044"/>
      <c r="E88" s="1042"/>
    </row>
    <row r="89" spans="1:12" ht="81.75" customHeight="1">
      <c r="A89" s="1493">
        <v>8</v>
      </c>
      <c r="B89" s="1043" t="s">
        <v>785</v>
      </c>
      <c r="C89" s="1039" t="s">
        <v>1210</v>
      </c>
      <c r="D89" s="1362" t="s">
        <v>412</v>
      </c>
      <c r="E89" s="1042"/>
    </row>
    <row r="90" spans="1:12" ht="277.5" customHeight="1">
      <c r="A90" s="1493" t="s">
        <v>787</v>
      </c>
      <c r="B90" s="1043" t="s">
        <v>786</v>
      </c>
      <c r="C90" s="1039" t="s">
        <v>951</v>
      </c>
      <c r="D90" s="1044"/>
      <c r="E90" s="1042"/>
    </row>
    <row r="91" spans="1:12" ht="136.5" customHeight="1">
      <c r="A91" s="1493" t="s">
        <v>787</v>
      </c>
      <c r="B91" s="1043" t="s">
        <v>788</v>
      </c>
      <c r="C91" s="1039" t="s">
        <v>1211</v>
      </c>
      <c r="D91" s="1044"/>
      <c r="E91" s="1042"/>
      <c r="K91" s="1457"/>
      <c r="L91" s="1457"/>
    </row>
    <row r="92" spans="1:12" ht="172.5" customHeight="1">
      <c r="A92" s="1493" t="s">
        <v>787</v>
      </c>
      <c r="B92" s="1043" t="s">
        <v>788</v>
      </c>
      <c r="C92" s="1039" t="s">
        <v>1212</v>
      </c>
      <c r="D92" s="1044"/>
      <c r="E92" s="1042"/>
      <c r="K92" s="1457"/>
      <c r="L92" s="1457"/>
    </row>
    <row r="93" spans="1:12" ht="172.5" customHeight="1">
      <c r="A93" s="1493" t="s">
        <v>787</v>
      </c>
      <c r="B93" s="1043" t="s">
        <v>788</v>
      </c>
      <c r="C93" s="1039" t="s">
        <v>789</v>
      </c>
      <c r="D93" s="1044"/>
      <c r="E93" s="1042"/>
    </row>
    <row r="94" spans="1:12" ht="118.5" customHeight="1">
      <c r="A94" s="1493" t="s">
        <v>787</v>
      </c>
      <c r="B94" s="1043" t="s">
        <v>788</v>
      </c>
      <c r="C94" s="1039" t="s">
        <v>790</v>
      </c>
      <c r="D94" s="1044"/>
      <c r="E94" s="1042"/>
    </row>
    <row r="95" spans="1:12" ht="63" customHeight="1">
      <c r="A95" s="1493" t="s">
        <v>791</v>
      </c>
      <c r="B95" s="1043" t="s">
        <v>792</v>
      </c>
      <c r="C95" s="1039" t="s">
        <v>1213</v>
      </c>
      <c r="D95" s="1044"/>
      <c r="E95" s="1042"/>
    </row>
    <row r="96" spans="1:12" ht="100.5" customHeight="1">
      <c r="A96" s="1496" t="s">
        <v>793</v>
      </c>
      <c r="B96" s="1043" t="s">
        <v>396</v>
      </c>
      <c r="C96" s="1039" t="s">
        <v>794</v>
      </c>
      <c r="D96" s="1044"/>
      <c r="E96" s="1042"/>
    </row>
    <row r="97" spans="1:12" ht="246" customHeight="1">
      <c r="A97" s="1496" t="s">
        <v>793</v>
      </c>
      <c r="B97" s="1043" t="s">
        <v>795</v>
      </c>
      <c r="C97" s="1039" t="s">
        <v>1383</v>
      </c>
      <c r="D97" s="1044"/>
      <c r="E97" s="1042"/>
      <c r="K97" s="1457"/>
      <c r="L97" s="1457"/>
    </row>
    <row r="98" spans="1:12" ht="63.75" customHeight="1">
      <c r="A98" s="1496" t="s">
        <v>793</v>
      </c>
      <c r="B98" s="1043" t="s">
        <v>795</v>
      </c>
      <c r="C98" s="1039" t="s">
        <v>796</v>
      </c>
      <c r="D98" s="1044"/>
      <c r="E98" s="1042"/>
    </row>
    <row r="99" spans="1:12" ht="114" customHeight="1">
      <c r="A99" s="1496" t="s">
        <v>793</v>
      </c>
      <c r="B99" s="1043" t="s">
        <v>747</v>
      </c>
      <c r="C99" s="1039" t="s">
        <v>1214</v>
      </c>
      <c r="D99" s="1044"/>
      <c r="E99" s="1042"/>
      <c r="K99" s="1457"/>
    </row>
    <row r="100" spans="1:12" ht="99.75" customHeight="1">
      <c r="A100" s="1496" t="s">
        <v>793</v>
      </c>
      <c r="B100" s="1327" t="s">
        <v>780</v>
      </c>
      <c r="C100" s="1039" t="s">
        <v>797</v>
      </c>
      <c r="D100" s="1053"/>
      <c r="E100" s="1042"/>
    </row>
    <row r="101" spans="1:12" ht="36">
      <c r="A101" s="1496" t="s">
        <v>793</v>
      </c>
      <c r="B101" s="1043" t="s">
        <v>798</v>
      </c>
      <c r="C101" s="1042" t="s">
        <v>1215</v>
      </c>
      <c r="D101" s="1044"/>
      <c r="E101" s="1042"/>
    </row>
    <row r="102" spans="1:12" ht="114" customHeight="1">
      <c r="A102" s="1496" t="s">
        <v>793</v>
      </c>
      <c r="B102" s="1263" t="s">
        <v>799</v>
      </c>
      <c r="C102" s="1359" t="s">
        <v>952</v>
      </c>
      <c r="D102" s="1044"/>
      <c r="E102" s="1042"/>
    </row>
    <row r="103" spans="1:12" ht="101.25" customHeight="1">
      <c r="A103" s="1496" t="s">
        <v>800</v>
      </c>
      <c r="B103" s="1263" t="s">
        <v>396</v>
      </c>
      <c r="C103" s="1360" t="s">
        <v>896</v>
      </c>
      <c r="D103" s="1044"/>
      <c r="E103" s="1042"/>
    </row>
    <row r="104" spans="1:12" ht="82.5" customHeight="1">
      <c r="A104" s="1496" t="s">
        <v>800</v>
      </c>
      <c r="B104" s="1263" t="s">
        <v>801</v>
      </c>
      <c r="C104" s="1054" t="s">
        <v>1216</v>
      </c>
      <c r="D104" s="1044"/>
      <c r="E104" s="1265"/>
    </row>
    <row r="105" spans="1:12" ht="67.5" customHeight="1">
      <c r="A105" s="1496" t="s">
        <v>800</v>
      </c>
      <c r="B105" s="1263" t="s">
        <v>802</v>
      </c>
      <c r="C105" s="1054" t="s">
        <v>1217</v>
      </c>
      <c r="D105" s="1044"/>
      <c r="E105" s="1265"/>
    </row>
    <row r="106" spans="1:12" ht="72" customHeight="1">
      <c r="A106" s="1496" t="s">
        <v>800</v>
      </c>
      <c r="B106" s="1263" t="s">
        <v>803</v>
      </c>
      <c r="C106" s="1054" t="s">
        <v>1218</v>
      </c>
      <c r="D106" s="1044"/>
      <c r="E106" s="1265"/>
    </row>
    <row r="107" spans="1:12" ht="86.25" customHeight="1">
      <c r="A107" s="1496" t="s">
        <v>800</v>
      </c>
      <c r="B107" s="1263" t="s">
        <v>804</v>
      </c>
      <c r="C107" s="1054" t="s">
        <v>1219</v>
      </c>
      <c r="D107" s="1044"/>
      <c r="E107" s="1492"/>
      <c r="F107" s="1491"/>
    </row>
    <row r="108" spans="1:12" ht="82.5" customHeight="1">
      <c r="A108" s="1496" t="s">
        <v>800</v>
      </c>
      <c r="B108" s="1263" t="s">
        <v>805</v>
      </c>
      <c r="C108" s="1054" t="s">
        <v>1220</v>
      </c>
      <c r="D108" s="1044"/>
      <c r="E108" s="1265"/>
    </row>
    <row r="109" spans="1:12" ht="157.19999999999999" customHeight="1">
      <c r="A109" s="1496" t="s">
        <v>800</v>
      </c>
      <c r="B109" s="1263" t="s">
        <v>806</v>
      </c>
      <c r="C109" s="1054" t="s">
        <v>1221</v>
      </c>
      <c r="D109" s="1044"/>
      <c r="E109" s="1265"/>
    </row>
    <row r="110" spans="1:12" ht="98.7" customHeight="1">
      <c r="A110" s="1496" t="s">
        <v>800</v>
      </c>
      <c r="B110" s="1263" t="s">
        <v>807</v>
      </c>
      <c r="C110" s="1054" t="s">
        <v>1222</v>
      </c>
      <c r="D110" s="1044"/>
      <c r="E110" s="1265"/>
    </row>
    <row r="111" spans="1:12" ht="100.2" customHeight="1">
      <c r="A111" s="1496" t="s">
        <v>800</v>
      </c>
      <c r="B111" s="1263" t="s">
        <v>808</v>
      </c>
      <c r="C111" s="1054" t="s">
        <v>1223</v>
      </c>
      <c r="D111" s="1044"/>
      <c r="E111" s="1265"/>
    </row>
    <row r="112" spans="1:12" ht="93" customHeight="1">
      <c r="A112" s="1496" t="s">
        <v>800</v>
      </c>
      <c r="B112" s="1263" t="s">
        <v>809</v>
      </c>
      <c r="C112" s="1360" t="s">
        <v>964</v>
      </c>
      <c r="D112" s="1044"/>
      <c r="E112" s="1265"/>
    </row>
    <row r="113" spans="1:13" ht="155.25" customHeight="1">
      <c r="A113" s="1496" t="s">
        <v>800</v>
      </c>
      <c r="B113" s="1263" t="s">
        <v>810</v>
      </c>
      <c r="C113" s="1360" t="s">
        <v>811</v>
      </c>
      <c r="D113" s="1044"/>
      <c r="E113" s="1265"/>
    </row>
    <row r="114" spans="1:13" ht="117.75" customHeight="1">
      <c r="A114" s="1496" t="s">
        <v>800</v>
      </c>
      <c r="B114" s="1263" t="s">
        <v>812</v>
      </c>
      <c r="C114" s="1054" t="s">
        <v>1224</v>
      </c>
      <c r="D114" s="1044"/>
      <c r="E114" s="1265"/>
    </row>
    <row r="115" spans="1:13" ht="145.19999999999999" customHeight="1">
      <c r="A115" s="1496" t="s">
        <v>800</v>
      </c>
      <c r="B115" s="1263" t="s">
        <v>813</v>
      </c>
      <c r="C115" s="1054" t="s">
        <v>1392</v>
      </c>
      <c r="D115" s="1044"/>
      <c r="E115" s="1265"/>
    </row>
    <row r="116" spans="1:13" ht="82.5" customHeight="1">
      <c r="A116" s="1496" t="s">
        <v>800</v>
      </c>
      <c r="B116" s="1263" t="s">
        <v>939</v>
      </c>
      <c r="C116" s="1360" t="s">
        <v>940</v>
      </c>
      <c r="D116" s="1044"/>
      <c r="E116" s="1265"/>
    </row>
    <row r="117" spans="1:13" ht="84" customHeight="1">
      <c r="A117" s="1496" t="s">
        <v>814</v>
      </c>
      <c r="B117" s="1043" t="s">
        <v>396</v>
      </c>
      <c r="C117" s="1054" t="s">
        <v>815</v>
      </c>
      <c r="D117" s="1044"/>
      <c r="E117" s="1042"/>
    </row>
    <row r="118" spans="1:13" ht="83.25" customHeight="1">
      <c r="A118" s="1496" t="s">
        <v>814</v>
      </c>
      <c r="B118" s="1043" t="s">
        <v>396</v>
      </c>
      <c r="C118" s="1054" t="s">
        <v>816</v>
      </c>
      <c r="D118" s="1044"/>
      <c r="E118" s="1042"/>
    </row>
    <row r="119" spans="1:13" ht="72" customHeight="1">
      <c r="A119" s="1496" t="s">
        <v>814</v>
      </c>
      <c r="B119" s="1043" t="s">
        <v>909</v>
      </c>
      <c r="C119" s="1514" t="s">
        <v>953</v>
      </c>
      <c r="D119" s="1044"/>
      <c r="E119" s="1047"/>
    </row>
    <row r="120" spans="1:13" ht="111" customHeight="1">
      <c r="A120" s="1496" t="s">
        <v>814</v>
      </c>
      <c r="B120" s="1043" t="s">
        <v>910</v>
      </c>
      <c r="C120" s="1514" t="s">
        <v>954</v>
      </c>
      <c r="D120" s="1044"/>
      <c r="E120" s="1047"/>
    </row>
    <row r="121" spans="1:13" ht="101.25" customHeight="1">
      <c r="A121" s="1496" t="s">
        <v>814</v>
      </c>
      <c r="B121" s="1043" t="s">
        <v>817</v>
      </c>
      <c r="C121" s="1055" t="s">
        <v>1225</v>
      </c>
      <c r="D121" s="1056"/>
      <c r="E121" s="1042"/>
      <c r="F121" s="1459"/>
      <c r="K121" s="1457"/>
    </row>
    <row r="122" spans="1:13" ht="252">
      <c r="A122" s="1496" t="s">
        <v>814</v>
      </c>
      <c r="B122" s="1043" t="s">
        <v>818</v>
      </c>
      <c r="C122" s="1055" t="s">
        <v>1226</v>
      </c>
      <c r="D122" s="1373" t="s">
        <v>412</v>
      </c>
      <c r="E122" s="1042"/>
      <c r="K122" s="1457"/>
      <c r="L122" s="1457"/>
    </row>
    <row r="123" spans="1:13" ht="342">
      <c r="A123" s="1496" t="s">
        <v>814</v>
      </c>
      <c r="B123" s="1043" t="s">
        <v>819</v>
      </c>
      <c r="C123" s="1212" t="s">
        <v>1227</v>
      </c>
      <c r="D123" s="1373" t="s">
        <v>412</v>
      </c>
      <c r="E123" s="1265"/>
      <c r="K123" s="1457"/>
      <c r="L123" s="1457"/>
      <c r="M123" s="1457"/>
    </row>
    <row r="124" spans="1:13" ht="204" customHeight="1">
      <c r="A124" s="1496" t="s">
        <v>814</v>
      </c>
      <c r="B124" s="1043" t="s">
        <v>820</v>
      </c>
      <c r="C124" s="1055" t="s">
        <v>1228</v>
      </c>
      <c r="D124" s="1373" t="s">
        <v>412</v>
      </c>
      <c r="E124" s="1047"/>
      <c r="K124" s="1457"/>
    </row>
    <row r="125" spans="1:13" ht="59.25" customHeight="1">
      <c r="A125" s="1496" t="s">
        <v>814</v>
      </c>
      <c r="B125" s="1043" t="s">
        <v>821</v>
      </c>
      <c r="C125" s="1058" t="s">
        <v>823</v>
      </c>
      <c r="D125" s="1329"/>
      <c r="E125" s="1042"/>
    </row>
    <row r="126" spans="1:13" ht="385.5" customHeight="1">
      <c r="A126" s="1496" t="s">
        <v>814</v>
      </c>
      <c r="B126" s="1427" t="s">
        <v>912</v>
      </c>
      <c r="C126" s="1055" t="s">
        <v>822</v>
      </c>
      <c r="D126" s="1329"/>
      <c r="E126" s="1042"/>
    </row>
    <row r="127" spans="1:13" ht="22.5" customHeight="1">
      <c r="A127" s="1325"/>
      <c r="B127" s="1327"/>
      <c r="C127" s="1057" t="s">
        <v>711</v>
      </c>
      <c r="D127" s="1329"/>
      <c r="E127" s="1042"/>
    </row>
    <row r="128" spans="1:13" ht="59.25" customHeight="1">
      <c r="A128" s="1496" t="s">
        <v>814</v>
      </c>
      <c r="B128" s="1043" t="s">
        <v>824</v>
      </c>
      <c r="C128" s="1058" t="s">
        <v>825</v>
      </c>
      <c r="D128" s="1329"/>
      <c r="E128" s="1042"/>
    </row>
    <row r="129" spans="1:12" ht="60.75" customHeight="1">
      <c r="A129" s="1496" t="s">
        <v>814</v>
      </c>
      <c r="B129" s="1043" t="s">
        <v>826</v>
      </c>
      <c r="C129" s="1055" t="s">
        <v>827</v>
      </c>
      <c r="D129" s="1044"/>
      <c r="E129" s="1042"/>
    </row>
    <row r="130" spans="1:12" ht="63.75" customHeight="1">
      <c r="A130" s="1496" t="s">
        <v>814</v>
      </c>
      <c r="B130" s="1043" t="s">
        <v>828</v>
      </c>
      <c r="C130" s="1055" t="s">
        <v>829</v>
      </c>
      <c r="D130" s="1044"/>
      <c r="E130" s="1042"/>
    </row>
    <row r="131" spans="1:12" ht="58.5" customHeight="1">
      <c r="A131" s="1496" t="s">
        <v>814</v>
      </c>
      <c r="B131" s="1043" t="s">
        <v>830</v>
      </c>
      <c r="C131" s="1055" t="s">
        <v>831</v>
      </c>
      <c r="D131" s="1044"/>
      <c r="E131" s="1042"/>
    </row>
    <row r="132" spans="1:12" ht="63" customHeight="1">
      <c r="A132" s="1496" t="s">
        <v>814</v>
      </c>
      <c r="B132" s="1043" t="s">
        <v>832</v>
      </c>
      <c r="C132" s="1055" t="s">
        <v>833</v>
      </c>
      <c r="D132" s="1044"/>
      <c r="E132" s="1042"/>
    </row>
    <row r="133" spans="1:12" ht="61.5" customHeight="1">
      <c r="A133" s="1496" t="s">
        <v>814</v>
      </c>
      <c r="B133" s="1043" t="s">
        <v>834</v>
      </c>
      <c r="C133" s="1055" t="s">
        <v>835</v>
      </c>
      <c r="D133" s="1044"/>
      <c r="E133" s="1042"/>
    </row>
    <row r="134" spans="1:12" ht="59.25" customHeight="1">
      <c r="A134" s="1496" t="s">
        <v>814</v>
      </c>
      <c r="B134" s="1043" t="s">
        <v>836</v>
      </c>
      <c r="C134" s="1055" t="s">
        <v>837</v>
      </c>
      <c r="D134" s="1044"/>
      <c r="E134" s="1042"/>
    </row>
    <row r="135" spans="1:12" ht="63" customHeight="1">
      <c r="A135" s="1496" t="s">
        <v>814</v>
      </c>
      <c r="B135" s="1043" t="s">
        <v>838</v>
      </c>
      <c r="C135" s="1055" t="s">
        <v>839</v>
      </c>
      <c r="D135" s="1044"/>
      <c r="E135" s="1042"/>
    </row>
    <row r="136" spans="1:12" ht="58.5" customHeight="1">
      <c r="A136" s="1496" t="s">
        <v>814</v>
      </c>
      <c r="B136" s="1043" t="s">
        <v>840</v>
      </c>
      <c r="C136" s="1055" t="s">
        <v>841</v>
      </c>
      <c r="D136" s="1044"/>
      <c r="E136" s="1042"/>
    </row>
    <row r="137" spans="1:12" ht="59.25" customHeight="1">
      <c r="A137" s="1496" t="s">
        <v>814</v>
      </c>
      <c r="B137" s="1043" t="s">
        <v>842</v>
      </c>
      <c r="C137" s="1055" t="s">
        <v>843</v>
      </c>
      <c r="D137" s="1044"/>
      <c r="E137" s="1042"/>
    </row>
    <row r="138" spans="1:12" ht="63.75" customHeight="1">
      <c r="A138" s="1496" t="s">
        <v>814</v>
      </c>
      <c r="B138" s="1043" t="s">
        <v>844</v>
      </c>
      <c r="C138" s="1055" t="s">
        <v>845</v>
      </c>
      <c r="D138" s="1044"/>
      <c r="E138" s="1042"/>
    </row>
    <row r="139" spans="1:12" ht="99" customHeight="1">
      <c r="A139" s="1496" t="s">
        <v>814</v>
      </c>
      <c r="B139" s="1043" t="s">
        <v>846</v>
      </c>
      <c r="C139" s="1055" t="s">
        <v>1229</v>
      </c>
      <c r="D139" s="1044"/>
      <c r="E139" s="1042"/>
    </row>
    <row r="140" spans="1:12" ht="151.19999999999999" customHeight="1">
      <c r="A140" s="1496" t="s">
        <v>814</v>
      </c>
      <c r="B140" s="1043" t="s">
        <v>897</v>
      </c>
      <c r="C140" s="1055" t="s">
        <v>1384</v>
      </c>
      <c r="D140" s="1373" t="s">
        <v>412</v>
      </c>
      <c r="E140" s="1042"/>
      <c r="F140" s="1488"/>
    </row>
    <row r="141" spans="1:12" ht="103.5" customHeight="1">
      <c r="A141" s="1496" t="s">
        <v>814</v>
      </c>
      <c r="B141" s="1043" t="s">
        <v>847</v>
      </c>
      <c r="C141" s="1055" t="s">
        <v>848</v>
      </c>
      <c r="D141" s="1044"/>
      <c r="E141" s="1042"/>
    </row>
    <row r="142" spans="1:12" ht="154.5" customHeight="1">
      <c r="A142" s="1496" t="s">
        <v>814</v>
      </c>
      <c r="B142" s="1043" t="s">
        <v>849</v>
      </c>
      <c r="C142" s="1042" t="s">
        <v>1230</v>
      </c>
      <c r="D142" s="1044"/>
      <c r="E142" s="1042"/>
      <c r="K142" s="1457"/>
      <c r="L142" s="1457"/>
    </row>
    <row r="143" spans="1:12" ht="18.75" customHeight="1">
      <c r="A143" s="1042"/>
      <c r="B143" s="1043"/>
      <c r="C143" s="1059" t="s">
        <v>850</v>
      </c>
      <c r="D143" s="1044"/>
      <c r="E143" s="1042"/>
    </row>
    <row r="144" spans="1:12" ht="66.75" customHeight="1">
      <c r="A144" s="1496" t="s">
        <v>814</v>
      </c>
      <c r="B144" s="1043" t="s">
        <v>851</v>
      </c>
      <c r="C144" s="1042" t="s">
        <v>1231</v>
      </c>
      <c r="D144" s="1044"/>
      <c r="E144" s="1042"/>
    </row>
    <row r="145" spans="1:12" ht="61.5" customHeight="1">
      <c r="A145" s="1496" t="s">
        <v>814</v>
      </c>
      <c r="B145" s="1043" t="s">
        <v>852</v>
      </c>
      <c r="C145" s="1042" t="s">
        <v>1232</v>
      </c>
      <c r="D145" s="1044"/>
      <c r="E145" s="1042"/>
    </row>
    <row r="146" spans="1:12" ht="25.5" customHeight="1">
      <c r="A146" s="1042"/>
      <c r="B146" s="1043"/>
      <c r="C146" s="1059" t="s">
        <v>721</v>
      </c>
      <c r="D146" s="1044"/>
      <c r="E146" s="1042"/>
    </row>
    <row r="147" spans="1:12" ht="151.5" customHeight="1">
      <c r="A147" s="1496" t="s">
        <v>814</v>
      </c>
      <c r="B147" s="1043" t="s">
        <v>853</v>
      </c>
      <c r="C147" s="1213" t="s">
        <v>1233</v>
      </c>
      <c r="D147" s="1044"/>
      <c r="E147" s="1042"/>
      <c r="K147" s="1457"/>
      <c r="L147" s="1457"/>
    </row>
    <row r="148" spans="1:12" ht="117" customHeight="1">
      <c r="A148" s="1496" t="s">
        <v>814</v>
      </c>
      <c r="B148" s="1043" t="s">
        <v>854</v>
      </c>
      <c r="C148" s="1042" t="s">
        <v>1234</v>
      </c>
      <c r="D148" s="1044"/>
      <c r="E148" s="1042"/>
      <c r="K148" s="1457"/>
    </row>
    <row r="149" spans="1:12" ht="135" customHeight="1">
      <c r="A149" s="1496" t="s">
        <v>814</v>
      </c>
      <c r="B149" s="1043" t="s">
        <v>855</v>
      </c>
      <c r="C149" s="1042" t="s">
        <v>856</v>
      </c>
      <c r="D149" s="1044"/>
      <c r="E149" s="1042"/>
    </row>
    <row r="150" spans="1:12" ht="18">
      <c r="A150" s="1042"/>
      <c r="B150" s="1043"/>
      <c r="C150" s="1059" t="s">
        <v>721</v>
      </c>
      <c r="D150" s="1044"/>
      <c r="E150" s="1042"/>
    </row>
    <row r="151" spans="1:12" ht="86.25" customHeight="1">
      <c r="A151" s="1496" t="s">
        <v>814</v>
      </c>
      <c r="B151" s="1043" t="s">
        <v>857</v>
      </c>
      <c r="C151" s="1042" t="s">
        <v>1235</v>
      </c>
      <c r="D151" s="1044"/>
      <c r="E151" s="1042"/>
      <c r="K151" s="1457"/>
    </row>
    <row r="152" spans="1:12" ht="47.25" customHeight="1">
      <c r="A152" s="1496" t="s">
        <v>814</v>
      </c>
      <c r="B152" s="1043" t="s">
        <v>858</v>
      </c>
      <c r="C152" s="1042" t="s">
        <v>859</v>
      </c>
      <c r="D152" s="1044"/>
      <c r="E152" s="1042"/>
    </row>
    <row r="153" spans="1:12" ht="261" customHeight="1">
      <c r="A153" s="1496" t="s">
        <v>814</v>
      </c>
      <c r="B153" s="1043" t="s">
        <v>860</v>
      </c>
      <c r="C153" s="1042" t="s">
        <v>861</v>
      </c>
      <c r="D153" s="1044"/>
      <c r="E153" s="1042"/>
    </row>
    <row r="154" spans="1:12" ht="153.75" customHeight="1">
      <c r="A154" s="1496" t="s">
        <v>814</v>
      </c>
      <c r="B154" s="1043" t="s">
        <v>862</v>
      </c>
      <c r="C154" s="1055" t="s">
        <v>955</v>
      </c>
      <c r="D154" s="1373" t="s">
        <v>412</v>
      </c>
      <c r="E154" s="1042"/>
    </row>
    <row r="155" spans="1:12" ht="135" customHeight="1">
      <c r="A155" s="1496" t="s">
        <v>814</v>
      </c>
      <c r="B155" s="1043" t="s">
        <v>863</v>
      </c>
      <c r="C155" s="1042" t="s">
        <v>917</v>
      </c>
      <c r="D155" s="1373" t="s">
        <v>412</v>
      </c>
      <c r="E155" s="1047"/>
    </row>
    <row r="156" spans="1:12" ht="62.25" customHeight="1">
      <c r="A156" s="1496" t="s">
        <v>814</v>
      </c>
      <c r="B156" s="1081" t="s">
        <v>864</v>
      </c>
      <c r="C156" s="1080" t="s">
        <v>865</v>
      </c>
      <c r="D156" s="1044"/>
      <c r="E156" s="1042"/>
    </row>
    <row r="157" spans="1:12" ht="168" customHeight="1">
      <c r="A157" s="1496" t="s">
        <v>814</v>
      </c>
      <c r="B157" s="1263" t="s">
        <v>866</v>
      </c>
      <c r="C157" s="1361" t="s">
        <v>918</v>
      </c>
      <c r="D157" s="1374" t="s">
        <v>412</v>
      </c>
      <c r="E157" s="1042"/>
    </row>
    <row r="158" spans="1:12" ht="22.5" customHeight="1">
      <c r="A158" s="1043"/>
      <c r="B158" s="1043"/>
      <c r="C158" s="1045" t="s">
        <v>781</v>
      </c>
      <c r="D158" s="1044"/>
      <c r="E158" s="1265"/>
    </row>
    <row r="159" spans="1:12" ht="169.5" customHeight="1">
      <c r="A159" s="1496" t="s">
        <v>814</v>
      </c>
      <c r="B159" s="1263" t="s">
        <v>867</v>
      </c>
      <c r="C159" s="1361" t="s">
        <v>919</v>
      </c>
      <c r="D159" s="1374" t="s">
        <v>412</v>
      </c>
      <c r="E159" s="1265"/>
    </row>
    <row r="160" spans="1:12" ht="18">
      <c r="A160" s="1043"/>
      <c r="B160" s="1043"/>
      <c r="C160" s="1045" t="s">
        <v>781</v>
      </c>
      <c r="D160" s="1044"/>
      <c r="E160" s="1265"/>
    </row>
    <row r="161" spans="1:14" ht="54">
      <c r="A161" s="1496" t="s">
        <v>814</v>
      </c>
      <c r="B161" s="1043" t="s">
        <v>868</v>
      </c>
      <c r="C161" s="1515" t="s">
        <v>914</v>
      </c>
      <c r="D161" s="1119"/>
      <c r="E161" s="1047"/>
    </row>
    <row r="162" spans="1:14" ht="54">
      <c r="A162" s="1496" t="s">
        <v>814</v>
      </c>
      <c r="B162" s="1043" t="s">
        <v>869</v>
      </c>
      <c r="C162" s="1515" t="s">
        <v>914</v>
      </c>
      <c r="D162" s="1119"/>
      <c r="E162" s="1047"/>
    </row>
    <row r="163" spans="1:14" ht="63" customHeight="1">
      <c r="A163" s="1496" t="s">
        <v>814</v>
      </c>
      <c r="B163" s="1263" t="s">
        <v>870</v>
      </c>
      <c r="C163" s="1042" t="s">
        <v>871</v>
      </c>
      <c r="D163" s="1119"/>
      <c r="E163" s="1042"/>
    </row>
    <row r="164" spans="1:14" s="1082" customFormat="1" ht="115.5" customHeight="1">
      <c r="A164" s="1496" t="s">
        <v>814</v>
      </c>
      <c r="B164" s="1081" t="s">
        <v>872</v>
      </c>
      <c r="C164" s="1080" t="s">
        <v>956</v>
      </c>
      <c r="D164" s="1374" t="s">
        <v>412</v>
      </c>
      <c r="E164" s="1080"/>
      <c r="F164" s="1038"/>
      <c r="G164" s="1038"/>
      <c r="H164" s="1038"/>
      <c r="I164" s="1038"/>
      <c r="J164" s="1038"/>
      <c r="K164" s="1038"/>
      <c r="L164" s="1038"/>
      <c r="M164" s="1038"/>
      <c r="N164" s="1038"/>
    </row>
    <row r="165" spans="1:14" ht="121.5" customHeight="1">
      <c r="A165" s="1496" t="s">
        <v>814</v>
      </c>
      <c r="B165" s="1043" t="s">
        <v>873</v>
      </c>
      <c r="C165" s="1042" t="s">
        <v>1385</v>
      </c>
      <c r="D165" s="1362" t="s">
        <v>412</v>
      </c>
      <c r="E165" s="1042"/>
      <c r="K165" s="1457"/>
    </row>
    <row r="166" spans="1:14" ht="138" customHeight="1">
      <c r="A166" s="1496" t="s">
        <v>814</v>
      </c>
      <c r="B166" s="1263" t="s">
        <v>874</v>
      </c>
      <c r="C166" s="1042" t="s">
        <v>1236</v>
      </c>
      <c r="D166" s="1044"/>
      <c r="E166" s="1042"/>
      <c r="K166" s="1457"/>
      <c r="L166" s="1457"/>
    </row>
    <row r="167" spans="1:14" ht="133.5" customHeight="1">
      <c r="A167" s="1496" t="s">
        <v>814</v>
      </c>
      <c r="B167" s="1043" t="s">
        <v>875</v>
      </c>
      <c r="C167" s="1042" t="s">
        <v>1237</v>
      </c>
      <c r="D167" s="1044"/>
      <c r="E167" s="1042"/>
      <c r="K167" s="1457"/>
      <c r="L167" s="1457"/>
    </row>
    <row r="168" spans="1:14" ht="114.75" customHeight="1">
      <c r="A168" s="1496" t="s">
        <v>814</v>
      </c>
      <c r="B168" s="1043" t="s">
        <v>876</v>
      </c>
      <c r="C168" s="1042" t="s">
        <v>877</v>
      </c>
      <c r="D168" s="1044"/>
      <c r="E168" s="1042"/>
    </row>
    <row r="169" spans="1:14" ht="62.25" customHeight="1">
      <c r="A169" s="1496" t="s">
        <v>814</v>
      </c>
      <c r="B169" s="1043" t="s">
        <v>878</v>
      </c>
      <c r="C169" s="1042" t="s">
        <v>879</v>
      </c>
      <c r="D169" s="1044"/>
      <c r="E169" s="1042"/>
    </row>
    <row r="170" spans="1:14" ht="168" customHeight="1">
      <c r="A170" s="1496" t="s">
        <v>814</v>
      </c>
      <c r="B170" s="1043" t="s">
        <v>880</v>
      </c>
      <c r="C170" s="1042" t="s">
        <v>1238</v>
      </c>
      <c r="D170" s="1044"/>
      <c r="E170" s="1042"/>
      <c r="K170" s="1457"/>
      <c r="L170" s="1457"/>
    </row>
    <row r="171" spans="1:14" ht="81" customHeight="1">
      <c r="A171" s="1496" t="s">
        <v>814</v>
      </c>
      <c r="B171" s="1043" t="s">
        <v>881</v>
      </c>
      <c r="C171" s="1042" t="s">
        <v>882</v>
      </c>
      <c r="D171" s="1044"/>
      <c r="E171" s="1042"/>
    </row>
    <row r="172" spans="1:14" ht="18">
      <c r="A172" s="1042"/>
      <c r="B172" s="1043"/>
      <c r="C172" s="1060" t="s">
        <v>781</v>
      </c>
      <c r="D172" s="1044"/>
      <c r="E172" s="1042"/>
    </row>
    <row r="173" spans="1:14" ht="100.5" customHeight="1">
      <c r="A173" s="1496" t="s">
        <v>814</v>
      </c>
      <c r="B173" s="1043" t="s">
        <v>883</v>
      </c>
      <c r="C173" s="1042" t="s">
        <v>884</v>
      </c>
      <c r="D173" s="1044"/>
      <c r="E173" s="1042"/>
    </row>
    <row r="174" spans="1:14" ht="150" customHeight="1">
      <c r="A174" s="1496" t="s">
        <v>814</v>
      </c>
      <c r="B174" s="1043" t="s">
        <v>885</v>
      </c>
      <c r="C174" s="1042" t="s">
        <v>886</v>
      </c>
      <c r="D174" s="1044"/>
      <c r="E174" s="1042"/>
    </row>
    <row r="175" spans="1:14" ht="133.5" customHeight="1">
      <c r="A175" s="1496" t="s">
        <v>482</v>
      </c>
      <c r="B175" s="1043" t="s">
        <v>396</v>
      </c>
      <c r="C175" s="1042" t="s">
        <v>887</v>
      </c>
      <c r="D175" s="1044"/>
      <c r="E175" s="1042"/>
    </row>
    <row r="176" spans="1:14" ht="64.5" customHeight="1">
      <c r="A176" s="1496" t="s">
        <v>888</v>
      </c>
      <c r="B176" s="1043" t="s">
        <v>396</v>
      </c>
      <c r="C176" s="1042" t="s">
        <v>889</v>
      </c>
      <c r="D176" s="1042"/>
      <c r="E176" s="1042"/>
    </row>
    <row r="177" spans="1:5" ht="43.5" customHeight="1">
      <c r="A177" s="1496" t="s">
        <v>888</v>
      </c>
      <c r="B177" s="1043" t="s">
        <v>890</v>
      </c>
      <c r="C177" s="1042" t="s">
        <v>891</v>
      </c>
      <c r="D177" s="1044"/>
      <c r="E177" s="1042"/>
    </row>
    <row r="178" spans="1:5" ht="229.5" customHeight="1">
      <c r="A178" s="1496" t="s">
        <v>888</v>
      </c>
      <c r="B178" s="1043" t="s">
        <v>892</v>
      </c>
      <c r="C178" s="1042" t="s">
        <v>920</v>
      </c>
      <c r="D178" s="1044"/>
      <c r="E178" s="1042"/>
    </row>
  </sheetData>
  <sheetProtection sheet="1" formatCells="0" formatColumns="0" formatRows="0" autoFilter="0"/>
  <autoFilter ref="D1:E178" xr:uid="{00000000-0009-0000-0000-000012000000}"/>
  <mergeCells count="9">
    <mergeCell ref="B18:B19"/>
    <mergeCell ref="A11:A12"/>
    <mergeCell ref="A16:A17"/>
    <mergeCell ref="E11:E12"/>
    <mergeCell ref="E16:E17"/>
    <mergeCell ref="B11:B12"/>
    <mergeCell ref="D11:D12"/>
    <mergeCell ref="B16:B17"/>
    <mergeCell ref="D16:D17"/>
  </mergeCells>
  <hyperlinks>
    <hyperlink ref="C12" r:id="rId1" display="mailto:SFPaymentTeam@azed.gov" xr:uid="{00000000-0004-0000-1200-000000000000}"/>
    <hyperlink ref="C17" r:id="rId2" xr:uid="{00000000-0004-0000-1200-000001000000}"/>
    <hyperlink ref="C65" r:id="rId3" xr:uid="{00000000-0004-0000-1200-000002000000}"/>
    <hyperlink ref="C143" r:id="rId4" display="mailto:SFAnalystTeam@azed.gov" xr:uid="{00000000-0004-0000-1200-000003000000}"/>
    <hyperlink ref="C32" r:id="rId5" xr:uid="{00000000-0004-0000-1200-000004000000}"/>
    <hyperlink ref="C67" r:id="rId6" xr:uid="{00000000-0004-0000-1200-000005000000}"/>
    <hyperlink ref="C127" r:id="rId7" xr:uid="{00000000-0004-0000-1200-000006000000}"/>
    <hyperlink ref="C3" location="DataEntryGeneral" display="Data Entry instructions" xr:uid="{00000000-0004-0000-1200-000007000000}"/>
    <hyperlink ref="C62" r:id="rId8" display="mailto:SFBudgetTeam@azed.gov" xr:uid="{00000000-0004-0000-1200-000008000000}"/>
    <hyperlink ref="C76" r:id="rId9" display="mailto:SFPaymentTeam@azed.gov" xr:uid="{00000000-0004-0000-1200-000009000000}"/>
    <hyperlink ref="C80" r:id="rId10" display="mailto:SFBudgetTeam@azed.gov" xr:uid="{00000000-0004-0000-1200-00000A000000}"/>
    <hyperlink ref="C82" r:id="rId11" display="mailto:SFBudgetTeam@azed.gov" xr:uid="{00000000-0004-0000-1200-00000B000000}"/>
    <hyperlink ref="C86" r:id="rId12" display="mailto:SFBudgetTeam@azed.gov" xr:uid="{00000000-0004-0000-1200-00000C000000}"/>
    <hyperlink ref="C88" r:id="rId13" display="mailto:SFBudgetTeam@azed.gov" xr:uid="{00000000-0004-0000-1200-00000D000000}"/>
    <hyperlink ref="C172" r:id="rId14" display="mailto:SFBudgetTeam@azed.gov" xr:uid="{00000000-0004-0000-1200-00000E000000}"/>
    <hyperlink ref="C55" r:id="rId15" xr:uid="{00000000-0004-0000-1200-00000F000000}"/>
    <hyperlink ref="C160" r:id="rId16" display="mailto:SFBudgetTeam@azed.gov" xr:uid="{00000000-0004-0000-1200-000010000000}"/>
    <hyperlink ref="C158" r:id="rId17" display="mailto:SFBudgetTeam@azed.gov" xr:uid="{00000000-0004-0000-1200-000011000000}"/>
    <hyperlink ref="C146" r:id="rId18" xr:uid="{00000000-0004-0000-1200-000012000000}"/>
    <hyperlink ref="C150" r:id="rId19" xr:uid="{00000000-0004-0000-1200-000013000000}"/>
    <hyperlink ref="A8" location="Cover!A1" display="Cover" xr:uid="{EB2E07AB-D7FB-45BD-920D-11A14184BF56}"/>
    <hyperlink ref="A13:A14" location="'Page 1'!A1" display="'Page 1'!A1" xr:uid="{88712CAA-42C8-4151-842F-A82F9F92C599}"/>
    <hyperlink ref="A21" location="'Page 2'!A1" display="'Page 2'!A1" xr:uid="{1EEC1A31-9768-4344-9E22-703A2A24CF61}"/>
    <hyperlink ref="A22" location="'Page 2'!A1" display="'Page 2'!A1" xr:uid="{82775AF6-5C45-4BE5-9E8F-97A07635AED9}"/>
    <hyperlink ref="A23" location="'Page 2'!A1" display="'Page 2'!A1" xr:uid="{5B56D46B-F696-428D-B274-4E4AF56C7EB4}"/>
    <hyperlink ref="A24" location="'Page 2'!A1" display="'Page 2'!A1" xr:uid="{ED905848-4AE8-4381-BBDE-928413A4C6B0}"/>
    <hyperlink ref="A25" location="'Page 3'!A1" display="'Page 3'!A1" xr:uid="{9FF23B11-6477-46F9-A84F-766B66AC46F2}"/>
    <hyperlink ref="A34" location="'Page 4'!A1" display="'Page 4'!A1" xr:uid="{F47C8740-F5C9-4229-9EFB-B01B7693FF98}"/>
    <hyperlink ref="A37" location="'Page 5'!A1" display="'Page 5'!A1" xr:uid="{1F2F90D1-6147-453E-8206-80DA75F1999E}"/>
    <hyperlink ref="A39" location="'Page 6'!A1" display="'Page 6'!A1" xr:uid="{5ED20BCE-DABE-4CCB-99B9-F99901C5E7CC}"/>
    <hyperlink ref="A79" location="'Page 8'!A1" display="'Page 8'!A1" xr:uid="{05BB0E36-FEAC-43FE-9AB3-3F85B1992921}"/>
    <hyperlink ref="A90" location="Supplement!A1" display="Suppl" xr:uid="{37774D45-E60A-4932-991D-0B779FFB51F0}"/>
    <hyperlink ref="A95" location="'Summary Page 1'!A1" display="Summary" xr:uid="{E94ADBB9-67C0-4DFE-B467-FD57DE20912B}"/>
    <hyperlink ref="A96" location="'Truth in Tax'!A1" display="Truth in Taxation Work Sheet" xr:uid="{8F705ED2-00A0-45DB-8622-E41DA7B8FEAB}"/>
    <hyperlink ref="A103" location="'Fund balances'!A1" display="Fund balances" xr:uid="{6E289BBC-941F-4904-A2C3-3A2F9A362ADA}"/>
    <hyperlink ref="A117" location="'Data Entry'!A1" display="Data Entry" xr:uid="{109BBEB7-AEC3-47E3-A223-43A10AB99871}"/>
    <hyperlink ref="A175" location="Calculations!A1" display="Calculations" xr:uid="{576C185A-5182-4D1B-BF72-C0068A937D4A}"/>
    <hyperlink ref="A176" location="'BSA55'!A1" display="BSA55" xr:uid="{A4492609-AC20-414F-898D-AC19165C050D}"/>
    <hyperlink ref="A15" location="'Page 1'!A1" display="'Page 1'!A1" xr:uid="{56CE9127-CF44-4CFD-B3E0-EB6CC72B64C2}"/>
    <hyperlink ref="A16" location="'Page 1'!A1" display="'Page 1'!A1" xr:uid="{ECD812D8-1207-4527-AE1A-CEA4508C0614}"/>
    <hyperlink ref="A18" location="'Page 1'!A1" display="'Page 1'!A1" xr:uid="{8BD58122-E0B9-4A8E-AAA6-5E5DE6C079F2}"/>
    <hyperlink ref="A20" location="'Page 1'!A1" display="'Page 1'!A1" xr:uid="{5472340C-7E7D-42AC-B286-9688EA119744}"/>
    <hyperlink ref="A11" location="'Page 1'!A1" display="'Page 1'!A1" xr:uid="{CF4AA3FF-6CD5-4B7A-9648-B4AC31943C88}"/>
    <hyperlink ref="A9" location="Cover!A1" display="Cover" xr:uid="{C0B34982-4684-45AD-979F-01FD72989BFE}"/>
    <hyperlink ref="A10" location="Cover!A1" display="Cover" xr:uid="{BC14B3EF-AE25-4FB0-9146-F820546573FC}"/>
    <hyperlink ref="A26" location="'Page 3'!A1" display="'Page 3'!A1" xr:uid="{45A4DAA9-EE3B-4613-BFE1-037533B13126}"/>
    <hyperlink ref="A27" location="'Page 3'!A1" display="'Page 3'!A1" xr:uid="{E8B68249-2A42-4CE8-8174-3C091BFAFB43}"/>
    <hyperlink ref="A28" location="'Page 3'!A1" display="'Page 3'!A1" xr:uid="{54B01932-E519-4110-8B0A-3E0513AD0F23}"/>
    <hyperlink ref="A29" location="'Page 3'!A1" display="'Page 3'!A1" xr:uid="{69D9E2AF-9FF7-4E2E-9502-D4F57AE2B669}"/>
    <hyperlink ref="A30" location="'Page 3'!A1" display="'Page 3'!A1" xr:uid="{F087C0B8-D8C1-4F04-AC3A-30CFA0676C9A}"/>
    <hyperlink ref="A31" location="'Page 3'!A1" display="'Page 3'!A1" xr:uid="{11EB94D0-77B6-4714-AB34-0E7149AF161B}"/>
    <hyperlink ref="A33" location="'Page 3'!A1" display="'Page 3'!A1" xr:uid="{B37F987C-7BF6-41BB-A026-8455CACA728F}"/>
    <hyperlink ref="A35" location="'Page 4'!A1" display="'Page 4'!A1" xr:uid="{69A4A536-591D-4F3A-BD6C-E55C11E4753C}"/>
    <hyperlink ref="A36" location="'Page 4'!A1" display="'Page 4'!A1" xr:uid="{78982A95-7B14-45D6-9F04-6CF3C7B11C4C}"/>
    <hyperlink ref="A38" location="'Page 5'!A1" display="'Page 5'!A1" xr:uid="{9462EAEE-9291-4724-851B-8B0D93D6B4B4}"/>
    <hyperlink ref="A40" location="'Page 6'!A1" display="'Page 6'!A1" xr:uid="{D5C1ABD5-BD29-4460-B8BB-F5998761E646}"/>
    <hyperlink ref="A41" location="'Page 6'!A1" display="'Page 6'!A1" xr:uid="{A10F077C-9342-4CD0-A11F-02A3CEAC730A}"/>
    <hyperlink ref="A42" location="'Page 6'!A1" display="'Page 6'!A1" xr:uid="{2A44BA5F-053B-4931-9A67-080A2F9429AE}"/>
    <hyperlink ref="A43" location="'Page 6'!A1" display="'Page 6'!A1" xr:uid="{5036D22B-1E3A-46DA-A643-EBBAD173F0A3}"/>
    <hyperlink ref="A44" location="'Page 6'!A1" display="'Page 6'!A1" xr:uid="{148046AE-83D0-4E26-85C6-96D8EDD338C6}"/>
    <hyperlink ref="A45" location="'Page 6'!A1" display="'Page 6'!A1" xr:uid="{C951F462-78C3-47E6-BCB5-40AE73924622}"/>
    <hyperlink ref="A46" location="'Page 6'!A1" display="'Page 6'!A1" xr:uid="{33BDE413-D09A-48D0-B77A-FA548FCADE95}"/>
    <hyperlink ref="A47" location="'Page 6'!A1" display="'Page 6'!A1" xr:uid="{B169335E-4627-4654-8DF6-D332B38EAEC4}"/>
    <hyperlink ref="A48" location="'Page 6'!A1" display="'Page 6'!A1" xr:uid="{1A21A8DD-D134-4928-93B9-7C3143176292}"/>
    <hyperlink ref="A49" location="'Page 6'!A1" display="'Page 6'!A1" xr:uid="{2910DAFC-3607-4328-8309-F6C879F26A4D}"/>
    <hyperlink ref="A50" location="'Page 7'!A1" display="'Page 7'!A1" xr:uid="{D6F7BA7F-2895-41BB-96B5-59C3E92356E5}"/>
    <hyperlink ref="A51" location="'Page 7'!A1" display="'Page 7'!A1" xr:uid="{AFE8BA91-1E76-4531-B76D-38B5EF773FED}"/>
    <hyperlink ref="A52" location="'Page 7'!A1" display="'Page 7'!A1" xr:uid="{392A5FF5-BD87-44CA-9B39-E1D624FD20F4}"/>
    <hyperlink ref="A53" location="'Page 7'!A1" display="'Page 7'!A1" xr:uid="{F3A40436-5BD2-4ABC-A2A8-8F4F076686DB}"/>
    <hyperlink ref="A54" location="'Page 7'!A1" display="'Page 7'!A1" xr:uid="{5000142F-9210-4F65-B6AA-877FCE6E8CC3}"/>
    <hyperlink ref="A56" location="'Page 7'!A1" display="'Page 7'!A1" xr:uid="{6B1519DB-F4B6-4D74-ADA6-2377D21D0537}"/>
    <hyperlink ref="A57" location="'Page 7'!A1" display="'Page 7'!A1" xr:uid="{7980E0D2-EAD3-4729-A87D-5CE2B3916E13}"/>
    <hyperlink ref="A58" location="'Page 7'!A1" display="'Page 7'!A1" xr:uid="{E27AA58B-DF98-4EDF-ACCF-0F4F66F57582}"/>
    <hyperlink ref="A59" location="'Page 7'!A1" display="'Page 7'!A1" xr:uid="{3159A9BB-969B-4854-B200-678034AE94F7}"/>
    <hyperlink ref="A60" location="'Page 7'!A1" display="'Page 7'!A1" xr:uid="{78C0C29D-44FA-45CE-BB99-E89695D5F0F2}"/>
    <hyperlink ref="A61" location="'Page 7'!A1" display="'Page 7'!A1" xr:uid="{160D7A18-9155-4B32-B887-24CC7D122977}"/>
    <hyperlink ref="A63" location="'Page 7'!A1" display="'Page 7'!A1" xr:uid="{CAEAF0AE-392E-4DA9-B31F-A76EEE16BE74}"/>
    <hyperlink ref="A64" location="'Page 7'!A1" display="'Page 7'!A1" xr:uid="{9FF4DE9C-028F-439B-A940-E8F90A17B2E5}"/>
    <hyperlink ref="A66" location="'Page 7'!A1" display="'Page 7'!A1" xr:uid="{A91380ED-26E6-4E3A-B575-3BC4C911E529}"/>
    <hyperlink ref="A68" location="'Page 7'!A1" display="'Page 7'!A1" xr:uid="{E3804ADC-EFFD-4134-A66C-03C72378E43F}"/>
    <hyperlink ref="A69" location="'Page 7'!A1" display="'Page 7'!A1" xr:uid="{BADB50CF-B209-47AC-B758-6611C12C59DD}"/>
    <hyperlink ref="A70" location="'Page 7'!A1" display="'Page 7'!A1" xr:uid="{8E4F7AC1-B690-4AF4-A493-C8E28D4E51A3}"/>
    <hyperlink ref="A71" location="'Page 7'!A1" display="'Page 7'!A1" xr:uid="{41497D6A-2D20-4B2F-8EA5-FE56AFDEA968}"/>
    <hyperlink ref="A72" location="'Page 7'!A1" display="'Page 7'!A1" xr:uid="{D8D90F7A-F5CF-457A-B809-2A7BB44E2EAB}"/>
    <hyperlink ref="A73" location="'Page 7'!A1" display="'Page 7'!A1" xr:uid="{6451F55D-36F6-4685-8E5E-5DFD9F0C59D7}"/>
    <hyperlink ref="A74" location="'Page 7'!A1" display="'Page 7'!A1" xr:uid="{0588F6D9-A397-45CD-BB8E-4C6100926476}"/>
    <hyperlink ref="A75" location="'Page 7'!A1" display="'Page 7'!A1" xr:uid="{3CA528F9-F952-4C18-ACDD-0AE433BDF713}"/>
    <hyperlink ref="A77" location="'Page 7'!A1" display="'Page 7'!A1" xr:uid="{B312F688-5CB7-46FE-9D63-7221DC331C68}"/>
    <hyperlink ref="A78" location="'Page 7'!A1" display="'Page 7'!A1" xr:uid="{8588A871-4493-499A-AAE6-614D9C0CA3C1}"/>
    <hyperlink ref="A81" location="'Page 8'!A1" display="'Page 8'!A1" xr:uid="{DE09A6A4-55BC-448E-9834-017352628906}"/>
    <hyperlink ref="A83" location="'Page 8'!A1" display="'Page 8'!A1" xr:uid="{EF6127D2-817A-4823-90AB-666A828848BB}"/>
    <hyperlink ref="A84" location="'Page 8'!A1" display="'Page 8'!A1" xr:uid="{20177DC8-46A3-44BD-BE4B-C678F68C1415}"/>
    <hyperlink ref="A85" location="'Page 8'!A1" display="'Page 8'!A1" xr:uid="{8BF7B852-539E-4872-90A2-93F8AF295728}"/>
    <hyperlink ref="A87" location="'Page 8'!A1" display="'Page 8'!A1" xr:uid="{A9D7DB8E-0C39-484F-B557-CB7A6F7D32D2}"/>
    <hyperlink ref="A89" location="'Page 8'!A1" display="'Page 8'!A1" xr:uid="{6A4F3AE9-3569-4871-AD64-C99CB047D0E1}"/>
    <hyperlink ref="A91" location="Supplement!A1" display="Suppl" xr:uid="{BE4EFDD5-D758-4EDD-B7B2-EDC8FFE9CDE1}"/>
    <hyperlink ref="A92" location="Supplement!A1" display="Suppl" xr:uid="{01D95F09-4F14-485E-96AF-C4406AB4F5DD}"/>
    <hyperlink ref="A93" location="Supplement!A1" display="Suppl" xr:uid="{2A7A5FF7-79CC-4707-967A-4172EE7572D5}"/>
    <hyperlink ref="A94" location="Supplement!A1" display="Suppl" xr:uid="{83CFBC94-B662-423B-9684-E510A0DE4B06}"/>
    <hyperlink ref="A97" location="'Truth in Tax'!A1" display="Truth in Taxation Work Sheet" xr:uid="{3EE6E5A6-DC76-44EF-8928-5EB1BB30CAA2}"/>
    <hyperlink ref="A98" location="'Truth in Tax'!A1" display="Truth in Taxation Work Sheet" xr:uid="{A9F298AC-1358-4272-9163-D86B6B72E9CA}"/>
    <hyperlink ref="A99" location="'Truth in Tax'!A1" display="Truth in Taxation Work Sheet" xr:uid="{197BEA08-628F-445E-9E9A-453E7C4641FC}"/>
    <hyperlink ref="A100" location="'Truth in Tax'!A1" display="Truth in Taxation Work Sheet" xr:uid="{4765E5B7-E711-464C-8A49-CB913C47F211}"/>
    <hyperlink ref="A101" location="'Truth in Tax'!A1" display="Truth in Taxation Work Sheet" xr:uid="{ABDCB075-D9C2-4F97-8DE9-638984E28FFC}"/>
    <hyperlink ref="A102" location="'Truth in Tax'!A1" display="Truth in Taxation Work Sheet" xr:uid="{2C0F171F-9A03-411B-A8D2-8E76CFC904C8}"/>
    <hyperlink ref="A104" location="'Fund balances'!A1" display="Fund balances" xr:uid="{BF4332A9-8A83-40C7-B40C-F6836EE73449}"/>
    <hyperlink ref="A105" location="'Fund balances'!A1" display="Fund balances" xr:uid="{8AE290B1-5A1A-4D3B-90C1-9A68BE2B85BB}"/>
    <hyperlink ref="A106" location="'Fund balances'!A1" display="Fund balances" xr:uid="{CB19D3CF-E33E-4309-AD24-48BA6223358C}"/>
    <hyperlink ref="A107" location="'Fund balances'!A1" display="Fund balances" xr:uid="{760428E2-412C-4970-898F-F181CDAC3F17}"/>
    <hyperlink ref="A108" location="'Fund balances'!A1" display="Fund balances" xr:uid="{0BA53B21-2ABD-4CF6-B8EC-6C372F62EDB0}"/>
    <hyperlink ref="A109" location="'Fund balances'!A1" display="Fund balances" xr:uid="{8F6BB5EA-57CE-4B59-B765-4B7225CB46E4}"/>
    <hyperlink ref="A110" location="'Fund balances'!A1" display="Fund balances" xr:uid="{83DA739B-9234-477E-A38F-6FEE997D6B06}"/>
    <hyperlink ref="A111" location="'Fund balances'!A1" display="Fund balances" xr:uid="{21548312-D3D9-4D6A-90D0-3B7E84AFB50B}"/>
    <hyperlink ref="A112" location="'Fund balances'!A1" display="Fund balances" xr:uid="{05647EB7-F5D0-4A95-BDA2-95CF91E368E4}"/>
    <hyperlink ref="A113" location="'Fund balances'!A1" display="Fund balances" xr:uid="{E11BC05E-4863-498B-AD10-7C2F0B62EFAA}"/>
    <hyperlink ref="A114" location="'Fund balances'!A1" display="Fund balances" xr:uid="{CE96FB37-0478-40C4-8D1F-3A62B18C32A3}"/>
    <hyperlink ref="A115" location="'Fund balances'!A1" display="Fund balances" xr:uid="{0BDA6B4D-FFF9-49CF-B273-A3359BE8CF6D}"/>
    <hyperlink ref="A116" location="'Fund balances'!A1" display="Fund balances" xr:uid="{EB9B1814-DFEC-4CEC-8B7C-954109F6A7C8}"/>
    <hyperlink ref="A177" location="'BSA55'!A1" display="BSA55" xr:uid="{9501DC77-ABBA-4B3A-8E05-04E9E97B3B0C}"/>
    <hyperlink ref="A178" location="'BSA55'!A1" display="BSA55" xr:uid="{7C8DC1BB-952A-49CE-9DEE-160480B4EACC}"/>
    <hyperlink ref="A118" location="'Data Entry'!A1" display="Data Entry" xr:uid="{80F9302F-92E1-4FE9-9146-A0F2330B7681}"/>
    <hyperlink ref="A119:A123" location="'Data Entry'!A1" display="Data Entry" xr:uid="{E221087C-BCB6-429D-9854-27A57CFFDC5C}"/>
    <hyperlink ref="A124:A126" location="'Data Entry'!A1" display="Data Entry" xr:uid="{E076C9BD-FD39-43C7-9F7E-3471050B6112}"/>
    <hyperlink ref="A128" location="'Data Entry'!A1" display="Data Entry" xr:uid="{A573C937-064E-4DE3-87FF-368424D7EC76}"/>
    <hyperlink ref="A129:A137" location="'Data Entry'!A1" display="Data Entry" xr:uid="{D159419C-5879-4A54-BF44-15C78E78B103}"/>
    <hyperlink ref="A138" location="'Data Entry'!A1" display="Data Entry" xr:uid="{A7B8EE82-4B8D-4B82-A50E-7AE0955455CC}"/>
    <hyperlink ref="A139:A140" location="'Data Entry'!A1" display="Data Entry" xr:uid="{B7AAAA65-4672-41EB-A78D-A4816C79A879}"/>
    <hyperlink ref="A141" location="'Data Entry'!A1" display="Data Entry" xr:uid="{F3113214-37F7-4844-8260-7E5ACC862F6B}"/>
    <hyperlink ref="A142" location="'Data Entry'!A1" display="Data Entry" xr:uid="{EF92E535-F922-4F57-AE6C-3FB2C270A0AA}"/>
    <hyperlink ref="A144" location="'Data Entry'!A1" display="Data Entry" xr:uid="{BEDC9A12-C9E9-443C-BC3A-06C5F20D753A}"/>
    <hyperlink ref="A145" location="'Data Entry'!A1" display="Data Entry" xr:uid="{4536FD28-293A-41A5-A0F4-6E8ADEC63C5B}"/>
    <hyperlink ref="A147" location="'Data Entry'!A1" display="Data Entry" xr:uid="{DF4AD0FC-6667-43FE-AD50-4B3BAC33F110}"/>
    <hyperlink ref="A148:A149" location="'Data Entry'!A1" display="Data Entry" xr:uid="{5AA756B9-2E54-425C-88A5-164B41FB8C9F}"/>
    <hyperlink ref="A151" location="'Data Entry'!A1" display="Data Entry" xr:uid="{2E9B51A7-F803-4363-9A51-1777689760E6}"/>
    <hyperlink ref="A152:A153" location="'Data Entry'!A1" display="Data Entry" xr:uid="{0C604E57-33B5-4F43-A049-EFB1C024036E}"/>
    <hyperlink ref="A154" location="'Data Entry'!A1" display="Data Entry" xr:uid="{70323407-0F78-4913-A67F-D8BC28E3973A}"/>
    <hyperlink ref="A155" location="'Data Entry'!A1" display="Data Entry" xr:uid="{E2A9400A-B703-45D9-9219-38F240CE5D79}"/>
    <hyperlink ref="A156" location="'Data Entry'!A1" display="Data Entry" xr:uid="{F2CEDD5B-9B0C-484F-AE1F-F44F4C64B188}"/>
    <hyperlink ref="A157" location="'Data Entry'!A1" display="Data Entry" xr:uid="{A5C977FB-0660-42BF-804E-E25783C2721E}"/>
    <hyperlink ref="A159" location="'Data Entry'!A1" display="Data Entry" xr:uid="{091FB9E3-A366-4C92-8385-3275F03B1E59}"/>
    <hyperlink ref="A161" location="'Data Entry'!A1" display="Data Entry" xr:uid="{E2713A83-BD10-447F-8F6D-80AD53F43D64}"/>
    <hyperlink ref="A162:A163" location="'Data Entry'!A1" display="Data Entry" xr:uid="{E63F2188-CB6D-4CD2-81B7-777EA1CA2EFD}"/>
    <hyperlink ref="A164" location="'Data Entry'!A1" display="Data Entry" xr:uid="{3E0488EF-52E1-4E37-8D30-71F139E44EEC}"/>
    <hyperlink ref="A165:A166" location="'Data Entry'!A1" display="Data Entry" xr:uid="{38021CA5-731E-4361-B25D-C2C5B305EFBF}"/>
    <hyperlink ref="A167" location="'Data Entry'!A1" display="Data Entry" xr:uid="{938BCFCA-1F5F-429C-8357-7CFA1DFA0B59}"/>
    <hyperlink ref="A168:A169" location="'Data Entry'!A1" display="Data Entry" xr:uid="{02A4DB48-1CB0-4DC4-AF9B-02E6C759EDB2}"/>
    <hyperlink ref="A170" location="'Data Entry'!A1" display="Data Entry" xr:uid="{96121F2E-BC0D-417B-83E6-95B8F41DD0DF}"/>
    <hyperlink ref="A171" location="'Data Entry'!A1" display="Data Entry" xr:uid="{D5E45EF5-8CC0-4B57-AA41-B4EB15160AAC}"/>
    <hyperlink ref="A173" location="'Data Entry'!A1" display="Data Entry" xr:uid="{3FD612DC-986C-4505-B050-3FDABDDE6B4E}"/>
    <hyperlink ref="A174" location="'Data Entry'!A1" display="Data Entry" xr:uid="{A1C7E5E6-FC63-4868-BE22-CFC88D62A987}"/>
  </hyperlinks>
  <printOptions horizontalCentered="1"/>
  <pageMargins left="0.25" right="0.25" top="0.25" bottom="0.25" header="0" footer="0.15"/>
  <pageSetup paperSize="5" scale="62" fitToHeight="0" orientation="portrait" r:id="rId20"/>
  <headerFooter alignWithMargins="0">
    <oddFooter>&amp;L&amp;"Times New Roman,Bold"&amp;9Rev. 5/26&amp;K000000 Arizona Department of Education and Auditor General&amp;C&amp;"Times New Roman,Regular"&amp;9&amp;D  &amp;T</oddFooter>
  </headerFooter>
  <rowBreaks count="10" manualBreakCount="10">
    <brk id="10" max="3" man="1"/>
    <brk id="24" max="3" man="1"/>
    <brk id="37" max="3" man="1"/>
    <brk id="49" max="3" man="1"/>
    <brk id="70" max="3" man="1"/>
    <brk id="86" max="3" man="1"/>
    <brk id="97" max="3" man="1"/>
    <brk id="112" max="3" man="1"/>
    <brk id="122" max="3" man="1"/>
    <brk id="165"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ransitionEvaluation="1" transitionEntry="1" codeName="Sheet3">
    <pageSetUpPr fitToPage="1"/>
  </sheetPr>
  <dimension ref="A1:O49"/>
  <sheetViews>
    <sheetView showGridLines="0" topLeftCell="A4" zoomScaleNormal="100" zoomScaleSheetLayoutView="115" workbookViewId="0">
      <selection activeCell="E41" sqref="E41:J41"/>
    </sheetView>
  </sheetViews>
  <sheetFormatPr defaultColWidth="9.81640625" defaultRowHeight="15.6"/>
  <cols>
    <col min="1" max="1" width="16.81640625" style="97" customWidth="1"/>
    <col min="2" max="2" width="19.81640625" style="97" customWidth="1"/>
    <col min="3" max="3" width="3.81640625" style="97" customWidth="1"/>
    <col min="4" max="5" width="5.81640625" style="97" customWidth="1"/>
    <col min="6" max="12" width="11.81640625" style="97" customWidth="1"/>
    <col min="13" max="13" width="6.81640625" style="97" customWidth="1"/>
    <col min="14" max="14" width="3.81640625" style="158" customWidth="1"/>
    <col min="15" max="20" width="9.81640625" style="97" customWidth="1"/>
    <col min="21" max="16384" width="9.81640625" style="97"/>
  </cols>
  <sheetData>
    <row r="1" spans="1:15">
      <c r="A1" s="1270" t="s">
        <v>56</v>
      </c>
      <c r="B1" s="1596" t="str">
        <f>DistrictName</f>
        <v>Pomerene Elementary School District</v>
      </c>
      <c r="C1" s="1597"/>
      <c r="D1" s="1597"/>
      <c r="E1" s="1597"/>
      <c r="F1" s="1270" t="s">
        <v>1</v>
      </c>
      <c r="G1" s="1269" t="str">
        <f>Cover!H1</f>
        <v>Cochise</v>
      </c>
      <c r="H1"/>
      <c r="I1" s="1270" t="s">
        <v>57</v>
      </c>
      <c r="J1" s="1284" t="str">
        <f>CTD</f>
        <v>020364000</v>
      </c>
      <c r="K1" s="148"/>
      <c r="L1" s="1270" t="s">
        <v>16</v>
      </c>
      <c r="M1" s="1594" t="str">
        <f>Cover!C8</f>
        <v>Proposed</v>
      </c>
      <c r="N1" s="1595"/>
      <c r="O1" s="138"/>
    </row>
    <row r="2" spans="1:15" ht="16.5" customHeight="1">
      <c r="A2" s="156" t="s">
        <v>75</v>
      </c>
      <c r="B2" s="156"/>
      <c r="C2" s="156"/>
      <c r="D2" s="1120" t="s">
        <v>76</v>
      </c>
      <c r="E2" s="1120"/>
      <c r="F2" s="1121"/>
      <c r="G2" s="1121"/>
      <c r="H2" s="1121"/>
      <c r="I2" s="1121"/>
      <c r="J2" s="1121"/>
      <c r="K2" s="1121"/>
      <c r="L2" s="1121"/>
      <c r="M2" s="157"/>
    </row>
    <row r="3" spans="1:15" ht="12" customHeight="1">
      <c r="A3" s="159"/>
      <c r="B3" s="96"/>
      <c r="C3" s="96"/>
      <c r="D3" s="160"/>
      <c r="E3" s="103"/>
      <c r="F3" s="161"/>
      <c r="G3" s="161" t="s">
        <v>77</v>
      </c>
      <c r="H3" s="161" t="s">
        <v>78</v>
      </c>
      <c r="I3" s="161"/>
      <c r="J3" s="161"/>
      <c r="K3" s="162" t="s">
        <v>79</v>
      </c>
      <c r="L3" s="162"/>
      <c r="M3" s="163"/>
    </row>
    <row r="4" spans="1:15" ht="12" customHeight="1">
      <c r="A4" s="1476" t="s">
        <v>691</v>
      </c>
      <c r="C4" s="96"/>
      <c r="D4" s="164" t="s">
        <v>80</v>
      </c>
      <c r="E4" s="162"/>
      <c r="F4" s="161" t="s">
        <v>81</v>
      </c>
      <c r="G4" s="161" t="s">
        <v>307</v>
      </c>
      <c r="H4" s="161" t="s">
        <v>308</v>
      </c>
      <c r="I4" s="161" t="s">
        <v>82</v>
      </c>
      <c r="J4" s="161" t="s">
        <v>83</v>
      </c>
      <c r="K4" s="4" t="s">
        <v>84</v>
      </c>
      <c r="L4" s="165" t="s">
        <v>85</v>
      </c>
      <c r="M4" s="161" t="s">
        <v>86</v>
      </c>
    </row>
    <row r="5" spans="1:15" ht="12" customHeight="1">
      <c r="A5" s="1300" t="s">
        <v>87</v>
      </c>
      <c r="C5" s="96"/>
      <c r="D5" s="161" t="s">
        <v>84</v>
      </c>
      <c r="E5" s="4" t="s">
        <v>85</v>
      </c>
      <c r="F5" s="166"/>
      <c r="G5" s="166"/>
      <c r="H5" s="161" t="s">
        <v>88</v>
      </c>
      <c r="I5" s="161"/>
      <c r="J5" s="161"/>
      <c r="K5" s="4" t="s">
        <v>3</v>
      </c>
      <c r="L5" s="165" t="s">
        <v>3</v>
      </c>
      <c r="M5" s="161" t="s">
        <v>89</v>
      </c>
    </row>
    <row r="6" spans="1:15" ht="12" customHeight="1">
      <c r="A6" s="167"/>
      <c r="B6" s="168"/>
      <c r="C6" s="169"/>
      <c r="D6" s="161" t="s">
        <v>3</v>
      </c>
      <c r="E6" s="171" t="s">
        <v>3</v>
      </c>
      <c r="F6" s="170" t="s">
        <v>90</v>
      </c>
      <c r="G6" s="170" t="s">
        <v>91</v>
      </c>
      <c r="H6" s="170" t="s">
        <v>92</v>
      </c>
      <c r="I6" s="170">
        <v>6600</v>
      </c>
      <c r="J6" s="170" t="s">
        <v>93</v>
      </c>
      <c r="K6" s="1358">
        <f>PriorFiscalYear</f>
        <v>2026</v>
      </c>
      <c r="L6" s="165">
        <f>Cover!E3</f>
        <v>2027</v>
      </c>
      <c r="M6" s="161" t="s">
        <v>94</v>
      </c>
    </row>
    <row r="7" spans="1:15" ht="11.25" customHeight="1">
      <c r="A7" s="1503" t="s">
        <v>95</v>
      </c>
      <c r="B7" s="96"/>
      <c r="C7" s="96"/>
      <c r="D7" s="1087"/>
      <c r="E7" s="1086"/>
      <c r="F7" s="325"/>
      <c r="G7" s="325"/>
      <c r="H7" s="325"/>
      <c r="I7" s="325"/>
      <c r="J7" s="325"/>
      <c r="K7" s="1530"/>
      <c r="L7" s="1530"/>
      <c r="M7" s="1087"/>
      <c r="N7" s="1"/>
    </row>
    <row r="8" spans="1:15" ht="11.25" customHeight="1">
      <c r="A8" s="101" t="s">
        <v>96</v>
      </c>
      <c r="B8" s="96"/>
      <c r="C8" s="175" t="s">
        <v>6</v>
      </c>
      <c r="D8" s="1152">
        <f>[1]!F001P100F1000Personnel</f>
        <v>7.75</v>
      </c>
      <c r="E8" s="1153">
        <v>7.75</v>
      </c>
      <c r="F8" s="12">
        <v>469144</v>
      </c>
      <c r="G8" s="12">
        <v>137494</v>
      </c>
      <c r="H8" s="12">
        <v>1300</v>
      </c>
      <c r="I8" s="12"/>
      <c r="J8" s="12"/>
      <c r="K8" s="1169">
        <f>[1]!F001P100F1000</f>
        <v>593678</v>
      </c>
      <c r="L8" s="1169">
        <f>SUM(F8:J8)</f>
        <v>607938</v>
      </c>
      <c r="M8" s="1155">
        <f>IF(K8=L8,0,IF(K8&gt;0,(L8-K8)/K8,""))</f>
        <v>2.4E-2</v>
      </c>
      <c r="N8" s="177" t="s">
        <v>6</v>
      </c>
    </row>
    <row r="9" spans="1:15" ht="13.5" customHeight="1">
      <c r="A9" s="101" t="s">
        <v>967</v>
      </c>
      <c r="B9" s="96"/>
      <c r="C9" s="175" t="s">
        <v>42</v>
      </c>
      <c r="D9" s="1087"/>
      <c r="E9" s="1086"/>
      <c r="F9" s="325"/>
      <c r="G9" s="325"/>
      <c r="H9" s="325"/>
      <c r="I9" s="325"/>
      <c r="J9" s="325"/>
      <c r="K9" s="1530"/>
      <c r="L9" s="1530"/>
      <c r="M9" s="1087"/>
      <c r="N9" s="177" t="s">
        <v>42</v>
      </c>
    </row>
    <row r="10" spans="1:15" ht="11.25" customHeight="1">
      <c r="A10" s="101" t="s">
        <v>97</v>
      </c>
      <c r="B10" s="96"/>
      <c r="C10" s="175" t="s">
        <v>8</v>
      </c>
      <c r="D10" s="1152">
        <f>[1]!F001P100F2100Personnel</f>
        <v>1</v>
      </c>
      <c r="E10" s="1153">
        <v>1</v>
      </c>
      <c r="F10" s="12">
        <v>48000</v>
      </c>
      <c r="G10" s="12">
        <v>16390</v>
      </c>
      <c r="H10" s="12">
        <f>12916+300</f>
        <v>13216</v>
      </c>
      <c r="I10" s="12">
        <v>0</v>
      </c>
      <c r="J10" s="12">
        <v>0</v>
      </c>
      <c r="K10" s="1169">
        <f>[1]!F001P100F2100</f>
        <v>86056</v>
      </c>
      <c r="L10" s="1169">
        <f>SUM(F10:J10)</f>
        <v>77606</v>
      </c>
      <c r="M10" s="1155">
        <f>IF(K10=L10,0,IF(K10&gt;0,(L10-K10)/K10,""))</f>
        <v>-9.8000000000000004E-2</v>
      </c>
      <c r="N10" s="177" t="s">
        <v>8</v>
      </c>
    </row>
    <row r="11" spans="1:15" ht="11.25" customHeight="1">
      <c r="A11" s="101" t="s">
        <v>968</v>
      </c>
      <c r="B11" s="96"/>
      <c r="C11" s="175" t="s">
        <v>22</v>
      </c>
      <c r="D11" s="1156">
        <f>[1]!F001P100F2200Personnel</f>
        <v>0</v>
      </c>
      <c r="E11" s="1157">
        <v>0</v>
      </c>
      <c r="F11" s="11">
        <v>0</v>
      </c>
      <c r="G11" s="11">
        <v>0</v>
      </c>
      <c r="H11" s="11">
        <v>2620</v>
      </c>
      <c r="I11" s="11">
        <v>2100</v>
      </c>
      <c r="J11" s="11">
        <v>0</v>
      </c>
      <c r="K11" s="331">
        <f>[1]!F001P100F2200</f>
        <v>5050</v>
      </c>
      <c r="L11" s="1531">
        <f t="shared" ref="L11:L21" si="0">SUM(F11:J11)</f>
        <v>4720</v>
      </c>
      <c r="M11" s="1159">
        <f t="shared" ref="M11:M22" si="1">IF(K11=L11,0,IF(K11&gt;0,(L11-K11)/K11,""))</f>
        <v>-6.5000000000000002E-2</v>
      </c>
      <c r="N11" s="177" t="s">
        <v>22</v>
      </c>
    </row>
    <row r="12" spans="1:15" ht="11.25" customHeight="1">
      <c r="A12" s="101" t="s">
        <v>969</v>
      </c>
      <c r="B12" s="96"/>
      <c r="C12" s="180" t="s">
        <v>40</v>
      </c>
      <c r="D12" s="1156">
        <f>[1]!F001P100F2300Personnel</f>
        <v>1</v>
      </c>
      <c r="E12" s="1157">
        <v>1</v>
      </c>
      <c r="F12" s="11">
        <v>104700</v>
      </c>
      <c r="G12" s="11">
        <v>34000</v>
      </c>
      <c r="H12" s="11">
        <f>21640+26000</f>
        <v>47640</v>
      </c>
      <c r="I12" s="11">
        <v>1000</v>
      </c>
      <c r="J12" s="11">
        <v>6000</v>
      </c>
      <c r="K12" s="403">
        <f>[1]!F001P100F2300</f>
        <v>193340</v>
      </c>
      <c r="L12" s="325">
        <f t="shared" si="0"/>
        <v>193340</v>
      </c>
      <c r="M12" s="1161">
        <f t="shared" si="1"/>
        <v>0</v>
      </c>
      <c r="N12" s="177" t="s">
        <v>40</v>
      </c>
    </row>
    <row r="13" spans="1:15" ht="11.25" customHeight="1">
      <c r="A13" s="101" t="s">
        <v>970</v>
      </c>
      <c r="B13" s="96"/>
      <c r="C13" s="175" t="s">
        <v>98</v>
      </c>
      <c r="D13" s="1156">
        <f>[1]!F001P100F2400Personnel</f>
        <v>0</v>
      </c>
      <c r="E13" s="1157">
        <v>0</v>
      </c>
      <c r="F13" s="11">
        <v>0</v>
      </c>
      <c r="G13" s="11">
        <v>0</v>
      </c>
      <c r="H13" s="11">
        <v>0</v>
      </c>
      <c r="I13" s="11">
        <v>0</v>
      </c>
      <c r="J13" s="11">
        <v>0</v>
      </c>
      <c r="K13" s="403">
        <f>[1]!F001P100F2400</f>
        <v>0</v>
      </c>
      <c r="L13" s="325">
        <f t="shared" si="0"/>
        <v>0</v>
      </c>
      <c r="M13" s="1161">
        <f t="shared" si="1"/>
        <v>0</v>
      </c>
      <c r="N13" s="177" t="s">
        <v>98</v>
      </c>
    </row>
    <row r="14" spans="1:15" ht="11.25" customHeight="1">
      <c r="A14" s="101" t="s">
        <v>971</v>
      </c>
      <c r="B14" s="96"/>
      <c r="C14" s="175" t="s">
        <v>99</v>
      </c>
      <c r="D14" s="1156">
        <f>[1]!F001P100F2500Personnel</f>
        <v>1</v>
      </c>
      <c r="E14" s="1157">
        <v>1</v>
      </c>
      <c r="F14" s="11">
        <v>63000</v>
      </c>
      <c r="G14" s="11">
        <v>23158</v>
      </c>
      <c r="H14" s="11">
        <f>19500+100+4775</f>
        <v>24375</v>
      </c>
      <c r="I14" s="11">
        <v>5500</v>
      </c>
      <c r="J14" s="11">
        <v>2500</v>
      </c>
      <c r="K14" s="403">
        <f>[1]!F001P100F2500</f>
        <v>120343</v>
      </c>
      <c r="L14" s="325">
        <f t="shared" si="0"/>
        <v>118533</v>
      </c>
      <c r="M14" s="1161">
        <f t="shared" si="1"/>
        <v>-1.4999999999999999E-2</v>
      </c>
      <c r="N14" s="177" t="s">
        <v>99</v>
      </c>
    </row>
    <row r="15" spans="1:15" ht="11.25" customHeight="1">
      <c r="A15" s="101" t="s">
        <v>972</v>
      </c>
      <c r="B15" s="96"/>
      <c r="C15" s="175" t="s">
        <v>100</v>
      </c>
      <c r="D15" s="1156">
        <f>[1]!F001P100F2600Personnel</f>
        <v>1.75</v>
      </c>
      <c r="E15" s="1157">
        <v>1.75</v>
      </c>
      <c r="F15" s="11">
        <v>51700</v>
      </c>
      <c r="G15" s="11">
        <v>18550</v>
      </c>
      <c r="H15" s="11">
        <f>20800+20500</f>
        <v>41300</v>
      </c>
      <c r="I15" s="11">
        <v>64884</v>
      </c>
      <c r="J15" s="11">
        <v>550</v>
      </c>
      <c r="K15" s="403">
        <f>[1]!F001P100F2600</f>
        <v>171684</v>
      </c>
      <c r="L15" s="325">
        <f t="shared" si="0"/>
        <v>176984</v>
      </c>
      <c r="M15" s="1161">
        <f t="shared" si="1"/>
        <v>3.1E-2</v>
      </c>
      <c r="N15" s="177" t="s">
        <v>100</v>
      </c>
    </row>
    <row r="16" spans="1:15" ht="11.25" customHeight="1">
      <c r="A16" s="101" t="s">
        <v>101</v>
      </c>
      <c r="B16" s="96"/>
      <c r="C16" s="175" t="s">
        <v>102</v>
      </c>
      <c r="D16" s="1156">
        <f>[1]!F001P100F2900Personnel</f>
        <v>0</v>
      </c>
      <c r="E16" s="1157">
        <v>0</v>
      </c>
      <c r="F16" s="11"/>
      <c r="G16" s="11"/>
      <c r="H16" s="11"/>
      <c r="I16" s="11"/>
      <c r="J16" s="11"/>
      <c r="K16" s="403">
        <f>[1]!F001P100F2900</f>
        <v>0</v>
      </c>
      <c r="L16" s="325">
        <f t="shared" si="0"/>
        <v>0</v>
      </c>
      <c r="M16" s="1161">
        <f t="shared" si="1"/>
        <v>0</v>
      </c>
      <c r="N16" s="177" t="s">
        <v>102</v>
      </c>
    </row>
    <row r="17" spans="1:14" ht="11.25" customHeight="1">
      <c r="A17" s="101" t="s">
        <v>973</v>
      </c>
      <c r="B17" s="96"/>
      <c r="C17" s="180" t="s">
        <v>103</v>
      </c>
      <c r="D17" s="1156">
        <f>[1]!F001P100F3000Personnel</f>
        <v>1</v>
      </c>
      <c r="E17" s="1157">
        <v>1</v>
      </c>
      <c r="F17" s="11">
        <v>25000</v>
      </c>
      <c r="G17" s="11">
        <v>13460</v>
      </c>
      <c r="H17" s="11">
        <v>4400</v>
      </c>
      <c r="I17" s="11">
        <v>73</v>
      </c>
      <c r="J17" s="11">
        <v>0</v>
      </c>
      <c r="K17" s="403">
        <f>[1]!F001P100F3000</f>
        <v>40173</v>
      </c>
      <c r="L17" s="325">
        <f t="shared" si="0"/>
        <v>42933</v>
      </c>
      <c r="M17" s="1161">
        <f t="shared" si="1"/>
        <v>6.9000000000000006E-2</v>
      </c>
      <c r="N17" s="177" t="s">
        <v>103</v>
      </c>
    </row>
    <row r="18" spans="1:14" ht="11.25" customHeight="1">
      <c r="A18" s="1503" t="s">
        <v>1063</v>
      </c>
      <c r="B18" s="96"/>
      <c r="C18" s="181" t="s">
        <v>104</v>
      </c>
      <c r="D18" s="1156">
        <f>[1]!F001P610Personnel</f>
        <v>0.88</v>
      </c>
      <c r="E18" s="1157">
        <v>0.88</v>
      </c>
      <c r="F18" s="12">
        <v>22600</v>
      </c>
      <c r="G18" s="12">
        <v>4999</v>
      </c>
      <c r="H18" s="12">
        <v>0</v>
      </c>
      <c r="I18" s="12">
        <v>2500</v>
      </c>
      <c r="J18" s="12">
        <v>0</v>
      </c>
      <c r="K18" s="331">
        <f>[1]!F001P610</f>
        <v>30198</v>
      </c>
      <c r="L18" s="325">
        <f t="shared" si="0"/>
        <v>30099</v>
      </c>
      <c r="M18" s="1159">
        <f t="shared" si="1"/>
        <v>-3.0000000000000001E-3</v>
      </c>
      <c r="N18" s="177" t="s">
        <v>104</v>
      </c>
    </row>
    <row r="19" spans="1:14" ht="11.25" customHeight="1">
      <c r="A19" s="1503" t="s">
        <v>1033</v>
      </c>
      <c r="B19" s="96"/>
      <c r="C19" s="182" t="s">
        <v>105</v>
      </c>
      <c r="D19" s="1156">
        <f>[1]!F001P620Personnel</f>
        <v>0</v>
      </c>
      <c r="E19" s="1157">
        <v>0</v>
      </c>
      <c r="F19" s="12">
        <v>6000</v>
      </c>
      <c r="G19" s="89">
        <v>2285</v>
      </c>
      <c r="H19" s="12">
        <v>0</v>
      </c>
      <c r="I19" s="12">
        <v>0</v>
      </c>
      <c r="J19" s="12">
        <v>0</v>
      </c>
      <c r="K19" s="331">
        <f>[1]!F001P620</f>
        <v>11060</v>
      </c>
      <c r="L19" s="325">
        <f t="shared" si="0"/>
        <v>8285</v>
      </c>
      <c r="M19" s="1159">
        <f t="shared" si="1"/>
        <v>-0.251</v>
      </c>
      <c r="N19" s="177" t="s">
        <v>105</v>
      </c>
    </row>
    <row r="20" spans="1:14" ht="11.25" customHeight="1">
      <c r="A20" s="1503" t="s">
        <v>974</v>
      </c>
      <c r="B20" s="96"/>
      <c r="C20" s="183" t="s">
        <v>106</v>
      </c>
      <c r="D20" s="1156">
        <f>[1]!F001P630Personnel</f>
        <v>0</v>
      </c>
      <c r="E20" s="1157">
        <v>0</v>
      </c>
      <c r="F20" s="87">
        <v>0</v>
      </c>
      <c r="G20" s="1532">
        <v>0</v>
      </c>
      <c r="H20" s="1533">
        <v>0</v>
      </c>
      <c r="I20" s="12">
        <v>0</v>
      </c>
      <c r="J20" s="12">
        <v>0</v>
      </c>
      <c r="K20" s="331">
        <f>[1]!F001P630</f>
        <v>0</v>
      </c>
      <c r="L20" s="325">
        <f t="shared" si="0"/>
        <v>0</v>
      </c>
      <c r="M20" s="1159">
        <f t="shared" si="1"/>
        <v>0</v>
      </c>
      <c r="N20" s="184" t="s">
        <v>106</v>
      </c>
    </row>
    <row r="21" spans="1:14" ht="11.25" customHeight="1">
      <c r="A21" s="1504" t="s">
        <v>975</v>
      </c>
      <c r="B21" s="1309"/>
      <c r="C21" s="185" t="s">
        <v>107</v>
      </c>
      <c r="D21" s="186">
        <f>[1]!F001P700800900Personnel</f>
        <v>0</v>
      </c>
      <c r="E21" s="13">
        <v>0</v>
      </c>
      <c r="F21" s="11">
        <v>0</v>
      </c>
      <c r="G21" s="12">
        <v>0</v>
      </c>
      <c r="H21" s="11">
        <v>0</v>
      </c>
      <c r="I21" s="11">
        <v>0</v>
      </c>
      <c r="J21" s="11">
        <v>0</v>
      </c>
      <c r="K21" s="403">
        <f>[1]!F001P700800900</f>
        <v>0</v>
      </c>
      <c r="L21" s="325">
        <f t="shared" si="0"/>
        <v>0</v>
      </c>
      <c r="M21" s="1161">
        <f t="shared" si="1"/>
        <v>0</v>
      </c>
      <c r="N21" s="177" t="s">
        <v>107</v>
      </c>
    </row>
    <row r="22" spans="1:14" ht="11.25" customHeight="1">
      <c r="A22" s="187" t="s">
        <v>976</v>
      </c>
      <c r="B22" s="169"/>
      <c r="C22" s="188" t="s">
        <v>108</v>
      </c>
      <c r="D22" s="1162">
        <f>SUM(D8:D21)</f>
        <v>14.38</v>
      </c>
      <c r="E22" s="186">
        <f t="shared" ref="E22:J22" si="2">E8+SUM(E10:E21)</f>
        <v>14.38</v>
      </c>
      <c r="F22" s="320">
        <f t="shared" si="2"/>
        <v>790144</v>
      </c>
      <c r="G22" s="320">
        <f t="shared" si="2"/>
        <v>250336</v>
      </c>
      <c r="H22" s="320">
        <f t="shared" si="2"/>
        <v>134851</v>
      </c>
      <c r="I22" s="320">
        <f t="shared" si="2"/>
        <v>76057</v>
      </c>
      <c r="J22" s="320">
        <f t="shared" si="2"/>
        <v>9050</v>
      </c>
      <c r="K22" s="321">
        <f>SUM(K8:K21)</f>
        <v>1251582</v>
      </c>
      <c r="L22" s="321">
        <f>SUM(L8:L21)</f>
        <v>1260438</v>
      </c>
      <c r="M22" s="1164">
        <f t="shared" si="1"/>
        <v>7.0000000000000001E-3</v>
      </c>
      <c r="N22" s="177" t="s">
        <v>108</v>
      </c>
    </row>
    <row r="23" spans="1:14" ht="11.25" customHeight="1">
      <c r="A23" s="1505" t="s">
        <v>977</v>
      </c>
      <c r="B23" s="96"/>
      <c r="C23" s="175"/>
      <c r="D23" s="1087"/>
      <c r="E23" s="1086"/>
      <c r="F23" s="325"/>
      <c r="G23" s="325"/>
      <c r="H23" s="325"/>
      <c r="I23" s="325"/>
      <c r="J23" s="325"/>
      <c r="K23" s="1530"/>
      <c r="L23" s="1530"/>
      <c r="M23" s="1087"/>
      <c r="N23" s="177"/>
    </row>
    <row r="24" spans="1:14" ht="11.25" customHeight="1">
      <c r="A24" s="101" t="s">
        <v>96</v>
      </c>
      <c r="B24" s="96"/>
      <c r="C24" s="191" t="s">
        <v>109</v>
      </c>
      <c r="D24" s="1152">
        <f>[1]!F001P200F1000Personnel</f>
        <v>0</v>
      </c>
      <c r="E24" s="1153">
        <v>1</v>
      </c>
      <c r="F24" s="12">
        <v>20000</v>
      </c>
      <c r="G24" s="12">
        <v>10000</v>
      </c>
      <c r="H24" s="12"/>
      <c r="I24" s="12">
        <v>1000</v>
      </c>
      <c r="J24" s="12"/>
      <c r="K24" s="1169">
        <f>[1]!F001P200F1000</f>
        <v>9252</v>
      </c>
      <c r="L24" s="1169">
        <f>SUM(F24:J24)</f>
        <v>31000</v>
      </c>
      <c r="M24" s="1155">
        <f>IF(K24=L24,0,IF(K24&gt;0,(L24-K24)/K24,""))</f>
        <v>2.351</v>
      </c>
      <c r="N24" s="177" t="s">
        <v>109</v>
      </c>
    </row>
    <row r="25" spans="1:14" ht="11.25" customHeight="1">
      <c r="A25" s="101" t="s">
        <v>967</v>
      </c>
      <c r="B25" s="96"/>
      <c r="C25" s="175"/>
      <c r="D25" s="1087"/>
      <c r="E25" s="1086"/>
      <c r="F25" s="325"/>
      <c r="G25" s="325"/>
      <c r="H25" s="325"/>
      <c r="I25" s="325"/>
      <c r="J25" s="325"/>
      <c r="K25" s="1530"/>
      <c r="L25" s="1530"/>
      <c r="M25" s="1087"/>
      <c r="N25" s="177" t="s">
        <v>42</v>
      </c>
    </row>
    <row r="26" spans="1:14" ht="11.25" customHeight="1">
      <c r="A26" s="101" t="s">
        <v>97</v>
      </c>
      <c r="B26" s="96"/>
      <c r="C26" s="175" t="s">
        <v>110</v>
      </c>
      <c r="D26" s="1152">
        <f>[1]!F001P200F2100Personnel</f>
        <v>0.15</v>
      </c>
      <c r="E26" s="1153">
        <v>0.15</v>
      </c>
      <c r="F26" s="12">
        <v>12000</v>
      </c>
      <c r="G26" s="12">
        <v>1093</v>
      </c>
      <c r="H26" s="12">
        <v>13000</v>
      </c>
      <c r="I26" s="12">
        <v>4250</v>
      </c>
      <c r="J26" s="12">
        <v>300</v>
      </c>
      <c r="K26" s="1169">
        <f>[1]!F001P200F2100</f>
        <v>30918</v>
      </c>
      <c r="L26" s="1169">
        <f>SUM(F26:J26)</f>
        <v>30643</v>
      </c>
      <c r="M26" s="1155">
        <f>IF(K26=L26,0,IF(K26&gt;0,(L26-K26)/K26,""))</f>
        <v>-8.9999999999999993E-3</v>
      </c>
      <c r="N26" s="177" t="s">
        <v>110</v>
      </c>
    </row>
    <row r="27" spans="1:14" ht="11.25" customHeight="1">
      <c r="A27" s="101" t="s">
        <v>968</v>
      </c>
      <c r="B27" s="96"/>
      <c r="C27" s="175" t="s">
        <v>111</v>
      </c>
      <c r="D27" s="1156">
        <f>[1]!F001P200F2200Personnel</f>
        <v>0</v>
      </c>
      <c r="E27" s="1157"/>
      <c r="F27" s="11"/>
      <c r="G27" s="11"/>
      <c r="H27" s="11"/>
      <c r="I27" s="11"/>
      <c r="J27" s="11"/>
      <c r="K27" s="331">
        <f>[1]!F001P200F2200</f>
        <v>8706</v>
      </c>
      <c r="L27" s="1531">
        <f t="shared" ref="L27:L33" si="3">SUM(F27:J27)</f>
        <v>0</v>
      </c>
      <c r="M27" s="1159">
        <f t="shared" ref="M27:M34" si="4">IF(K27=L27,0,IF(K27&gt;0,(L27-K27)/K27,""))</f>
        <v>-1</v>
      </c>
      <c r="N27" s="177" t="s">
        <v>111</v>
      </c>
    </row>
    <row r="28" spans="1:14" ht="11.25" customHeight="1">
      <c r="A28" s="101" t="s">
        <v>969</v>
      </c>
      <c r="B28" s="96"/>
      <c r="C28" s="175" t="s">
        <v>112</v>
      </c>
      <c r="D28" s="1156">
        <f>[1]!F001P200F2300Personnel</f>
        <v>0</v>
      </c>
      <c r="E28" s="1157"/>
      <c r="F28" s="11"/>
      <c r="G28" s="11"/>
      <c r="H28" s="11"/>
      <c r="I28" s="11"/>
      <c r="J28" s="11"/>
      <c r="K28" s="403">
        <f>[1]!F001P200F2300</f>
        <v>0</v>
      </c>
      <c r="L28" s="325">
        <f t="shared" si="3"/>
        <v>0</v>
      </c>
      <c r="M28" s="1161">
        <f t="shared" si="4"/>
        <v>0</v>
      </c>
      <c r="N28" s="177" t="s">
        <v>112</v>
      </c>
    </row>
    <row r="29" spans="1:14" ht="11.25" customHeight="1">
      <c r="A29" s="101" t="s">
        <v>970</v>
      </c>
      <c r="B29" s="96"/>
      <c r="C29" s="175" t="s">
        <v>113</v>
      </c>
      <c r="D29" s="1156">
        <f>[1]!F001P200F2400Personnel</f>
        <v>0</v>
      </c>
      <c r="E29" s="1157"/>
      <c r="F29" s="11"/>
      <c r="G29" s="11"/>
      <c r="H29" s="11"/>
      <c r="I29" s="11"/>
      <c r="J29" s="11"/>
      <c r="K29" s="403">
        <f>[1]!F001P200F2400</f>
        <v>0</v>
      </c>
      <c r="L29" s="325">
        <f t="shared" si="3"/>
        <v>0</v>
      </c>
      <c r="M29" s="1161">
        <f t="shared" si="4"/>
        <v>0</v>
      </c>
      <c r="N29" s="177" t="s">
        <v>113</v>
      </c>
    </row>
    <row r="30" spans="1:14" ht="11.25" customHeight="1">
      <c r="A30" s="101" t="s">
        <v>971</v>
      </c>
      <c r="B30" s="96"/>
      <c r="C30" s="175" t="s">
        <v>114</v>
      </c>
      <c r="D30" s="1156">
        <f>[1]!F001P200F2500Personnel</f>
        <v>0</v>
      </c>
      <c r="E30" s="1157"/>
      <c r="F30" s="11"/>
      <c r="G30" s="11"/>
      <c r="H30" s="11"/>
      <c r="I30" s="11"/>
      <c r="J30" s="11"/>
      <c r="K30" s="403">
        <f>[1]!F001P200F2500</f>
        <v>0</v>
      </c>
      <c r="L30" s="325">
        <f>SUM(F30:J30)</f>
        <v>0</v>
      </c>
      <c r="M30" s="1161">
        <f t="shared" si="4"/>
        <v>0</v>
      </c>
      <c r="N30" s="177" t="s">
        <v>114</v>
      </c>
    </row>
    <row r="31" spans="1:14" ht="11.25" customHeight="1">
      <c r="A31" s="101" t="s">
        <v>972</v>
      </c>
      <c r="B31" s="96"/>
      <c r="C31" s="175" t="s">
        <v>115</v>
      </c>
      <c r="D31" s="1156">
        <f>[1]!F001P200F2600Personnel</f>
        <v>0</v>
      </c>
      <c r="E31" s="1157"/>
      <c r="F31" s="11"/>
      <c r="G31" s="11"/>
      <c r="H31" s="11"/>
      <c r="I31" s="11"/>
      <c r="J31" s="11"/>
      <c r="K31" s="403">
        <f>[1]!F001P200F2600</f>
        <v>0</v>
      </c>
      <c r="L31" s="325">
        <f t="shared" si="3"/>
        <v>0</v>
      </c>
      <c r="M31" s="1161">
        <f t="shared" si="4"/>
        <v>0</v>
      </c>
      <c r="N31" s="177" t="s">
        <v>115</v>
      </c>
    </row>
    <row r="32" spans="1:14" ht="11.25" customHeight="1">
      <c r="A32" s="101" t="s">
        <v>101</v>
      </c>
      <c r="B32" s="96"/>
      <c r="C32" s="175" t="s">
        <v>116</v>
      </c>
      <c r="D32" s="1156">
        <f>[1]!F001P200F2900Personnel</f>
        <v>0</v>
      </c>
      <c r="E32" s="1157"/>
      <c r="F32" s="11"/>
      <c r="G32" s="11"/>
      <c r="H32" s="11"/>
      <c r="I32" s="11"/>
      <c r="J32" s="11"/>
      <c r="K32" s="403">
        <f>[1]!F001P200F2900</f>
        <v>0</v>
      </c>
      <c r="L32" s="325">
        <f t="shared" si="3"/>
        <v>0</v>
      </c>
      <c r="M32" s="1161">
        <f t="shared" si="4"/>
        <v>0</v>
      </c>
      <c r="N32" s="177" t="s">
        <v>116</v>
      </c>
    </row>
    <row r="33" spans="1:14" ht="11.25" customHeight="1">
      <c r="A33" s="101" t="s">
        <v>973</v>
      </c>
      <c r="B33" s="96"/>
      <c r="C33" s="175" t="s">
        <v>117</v>
      </c>
      <c r="D33" s="1156">
        <f>[1]!F001P200F3000Personnel</f>
        <v>0</v>
      </c>
      <c r="E33" s="1157"/>
      <c r="F33" s="11"/>
      <c r="G33" s="11"/>
      <c r="H33" s="11"/>
      <c r="I33" s="11"/>
      <c r="J33" s="11"/>
      <c r="K33" s="403">
        <f>[1]!F001P200F3000</f>
        <v>0</v>
      </c>
      <c r="L33" s="325">
        <f t="shared" si="3"/>
        <v>0</v>
      </c>
      <c r="M33" s="1161">
        <f t="shared" si="4"/>
        <v>0</v>
      </c>
      <c r="N33" s="177" t="s">
        <v>117</v>
      </c>
    </row>
    <row r="34" spans="1:14" ht="11.25" customHeight="1">
      <c r="A34" s="187" t="s">
        <v>118</v>
      </c>
      <c r="B34" s="169"/>
      <c r="C34" s="188" t="s">
        <v>119</v>
      </c>
      <c r="D34" s="186">
        <f>SUM(D24:D33)</f>
        <v>0.15</v>
      </c>
      <c r="E34" s="186">
        <f t="shared" ref="E34:J34" si="5">E24+SUM(E26:E33)</f>
        <v>1.1499999999999999</v>
      </c>
      <c r="F34" s="320">
        <f t="shared" si="5"/>
        <v>32000</v>
      </c>
      <c r="G34" s="320">
        <f t="shared" si="5"/>
        <v>11093</v>
      </c>
      <c r="H34" s="320">
        <f t="shared" si="5"/>
        <v>13000</v>
      </c>
      <c r="I34" s="320">
        <f t="shared" si="5"/>
        <v>5250</v>
      </c>
      <c r="J34" s="320">
        <f t="shared" si="5"/>
        <v>300</v>
      </c>
      <c r="K34" s="403">
        <f>SUM(K24:K33)</f>
        <v>48876</v>
      </c>
      <c r="L34" s="320">
        <f>SUM(L24:L33)</f>
        <v>61643</v>
      </c>
      <c r="M34" s="1161">
        <f t="shared" si="4"/>
        <v>0.26100000000000001</v>
      </c>
      <c r="N34" s="177" t="s">
        <v>119</v>
      </c>
    </row>
    <row r="35" spans="1:14" ht="11.25" customHeight="1">
      <c r="A35" s="1503" t="s">
        <v>978</v>
      </c>
      <c r="B35" s="96"/>
      <c r="C35" s="175" t="s">
        <v>120</v>
      </c>
      <c r="D35" s="1162">
        <f>[1]!F001P400Personnel</f>
        <v>1</v>
      </c>
      <c r="E35" s="1165">
        <v>1</v>
      </c>
      <c r="F35" s="73">
        <v>37500</v>
      </c>
      <c r="G35" s="73">
        <v>16010</v>
      </c>
      <c r="H35" s="73">
        <v>16000</v>
      </c>
      <c r="I35" s="73">
        <v>19000</v>
      </c>
      <c r="J35" s="73">
        <v>3000</v>
      </c>
      <c r="K35" s="1536">
        <f>'[1]Page 1'!$L$35</f>
        <v>91510</v>
      </c>
      <c r="L35" s="325">
        <f>SUM(F35:J35)</f>
        <v>91510</v>
      </c>
      <c r="M35" s="1164">
        <f>IF(K35=L35,0,IF(K35&gt;0,(L35-K35)/K35,""))</f>
        <v>0</v>
      </c>
      <c r="N35" s="177" t="s">
        <v>120</v>
      </c>
    </row>
    <row r="36" spans="1:14" ht="11.25" customHeight="1">
      <c r="A36" s="1506" t="s">
        <v>1064</v>
      </c>
      <c r="B36" s="99"/>
      <c r="C36" s="192"/>
      <c r="D36" s="1087"/>
      <c r="E36" s="1087"/>
      <c r="F36" s="1530"/>
      <c r="G36" s="1530"/>
      <c r="H36" s="1530"/>
      <c r="I36" s="1530"/>
      <c r="J36" s="1530"/>
      <c r="K36" s="1530"/>
      <c r="L36" s="1530"/>
      <c r="M36" s="1087"/>
      <c r="N36" s="177"/>
    </row>
    <row r="37" spans="1:14" ht="11.25" customHeight="1">
      <c r="A37" s="187" t="s">
        <v>121</v>
      </c>
      <c r="B37" s="169"/>
      <c r="C37" s="188" t="s">
        <v>122</v>
      </c>
      <c r="D37" s="1152">
        <f>[2]!DesegFTEPY</f>
        <v>0</v>
      </c>
      <c r="E37" s="1152">
        <f>[2]!DesegFTEBY</f>
        <v>0</v>
      </c>
      <c r="F37" s="1169">
        <f>[2]!DesegTotalMOO6100</f>
        <v>0</v>
      </c>
      <c r="G37" s="1169">
        <f>[2]!DesegTotalMOO6200</f>
        <v>0</v>
      </c>
      <c r="H37" s="1169">
        <f>[2]!DesegTotalMOO630064006500</f>
        <v>0</v>
      </c>
      <c r="I37" s="1169">
        <f>[2]!DesegTotalMOO6600</f>
        <v>0</v>
      </c>
      <c r="J37" s="1169">
        <f>[2]!DesegTotalMOO6800</f>
        <v>0</v>
      </c>
      <c r="K37" s="1169">
        <f>[2]!DesegTotalMOPY</f>
        <v>0</v>
      </c>
      <c r="L37" s="1169">
        <f>[2]!DesegTotalMOBY</f>
        <v>0</v>
      </c>
      <c r="M37" s="1155">
        <f>[2]!DesegTotalMOPercent</f>
        <v>0</v>
      </c>
      <c r="N37" s="177" t="s">
        <v>122</v>
      </c>
    </row>
    <row r="38" spans="1:14" ht="12.75" customHeight="1">
      <c r="A38" s="1507" t="s">
        <v>979</v>
      </c>
      <c r="B38" s="169"/>
      <c r="C38" s="194" t="s">
        <v>123</v>
      </c>
      <c r="D38" s="1166">
        <f>[1]!F001P530Personnel</f>
        <v>0</v>
      </c>
      <c r="E38" s="1167"/>
      <c r="F38" s="1368"/>
      <c r="G38" s="1368"/>
      <c r="H38" s="1368"/>
      <c r="I38" s="1368"/>
      <c r="J38" s="1368"/>
      <c r="K38" s="1531">
        <f>[1]!F001P530</f>
        <v>0</v>
      </c>
      <c r="L38" s="1531">
        <f>SUM(F38:J38)</f>
        <v>0</v>
      </c>
      <c r="M38" s="1168">
        <f>IF(K38=L38,0,IF(K38&gt;0,(L38-K38)/K38,""))</f>
        <v>0</v>
      </c>
      <c r="N38" s="177" t="s">
        <v>123</v>
      </c>
    </row>
    <row r="39" spans="1:14" ht="11.25" customHeight="1">
      <c r="A39" s="1503" t="s">
        <v>980</v>
      </c>
      <c r="B39" s="96"/>
      <c r="C39" s="192" t="s">
        <v>42</v>
      </c>
      <c r="D39" s="1087"/>
      <c r="E39" s="1087"/>
      <c r="F39" s="1530"/>
      <c r="G39" s="1530"/>
      <c r="H39" s="1530"/>
      <c r="I39" s="1530"/>
      <c r="J39" s="1530"/>
      <c r="K39" s="1530"/>
      <c r="L39" s="1530"/>
      <c r="M39" s="1087"/>
      <c r="N39" s="177" t="s">
        <v>42</v>
      </c>
    </row>
    <row r="40" spans="1:14" ht="13.5" customHeight="1">
      <c r="A40" s="187" t="s">
        <v>1065</v>
      </c>
      <c r="B40" s="169"/>
      <c r="C40" s="195" t="s">
        <v>124</v>
      </c>
      <c r="D40" s="1152">
        <f>[1]!F001P540Personnel</f>
        <v>0</v>
      </c>
      <c r="E40" s="1152">
        <v>0</v>
      </c>
      <c r="F40" s="1169">
        <v>0</v>
      </c>
      <c r="G40" s="1169">
        <v>0</v>
      </c>
      <c r="H40" s="1169">
        <v>0</v>
      </c>
      <c r="I40" s="1169">
        <v>0</v>
      </c>
      <c r="J40" s="1169">
        <v>0</v>
      </c>
      <c r="K40" s="1169">
        <f>'[1]Page 1'!$L$40</f>
        <v>0</v>
      </c>
      <c r="L40" s="1169">
        <f>SUM(F40:J40)</f>
        <v>0</v>
      </c>
      <c r="M40" s="1155">
        <f>IF(K40=L40,0,IF(K40&gt;0,(L40-K40)/K40,""))</f>
        <v>0</v>
      </c>
      <c r="N40" s="177" t="s">
        <v>124</v>
      </c>
    </row>
    <row r="41" spans="1:14" ht="13.5" customHeight="1">
      <c r="A41" s="1508" t="s">
        <v>981</v>
      </c>
      <c r="B41" s="1346"/>
      <c r="C41" s="1347" t="s">
        <v>125</v>
      </c>
      <c r="D41" s="1156">
        <f>[1]!F001P550Personnel</f>
        <v>0.5</v>
      </c>
      <c r="E41" s="1157">
        <v>0.5</v>
      </c>
      <c r="F41" s="11">
        <v>7495</v>
      </c>
      <c r="G41" s="11">
        <v>3507</v>
      </c>
      <c r="H41" s="11">
        <v>0</v>
      </c>
      <c r="I41" s="11">
        <v>0</v>
      </c>
      <c r="J41" s="11">
        <v>0</v>
      </c>
      <c r="K41" s="331">
        <f>[1]!F001P550</f>
        <v>10978</v>
      </c>
      <c r="L41" s="1531">
        <f>SUM(F41:J41)</f>
        <v>11002</v>
      </c>
      <c r="M41" s="1159">
        <f>IF(K41=L41,0,IF(K41&gt;0,(L41-K41)/K41,""))</f>
        <v>2E-3</v>
      </c>
      <c r="N41" s="177" t="s">
        <v>125</v>
      </c>
    </row>
    <row r="42" spans="1:14" ht="13.5" customHeight="1">
      <c r="A42" s="1520" t="s">
        <v>924</v>
      </c>
      <c r="B42" s="1520"/>
      <c r="C42" s="180" t="s">
        <v>126</v>
      </c>
      <c r="D42" s="1432">
        <f t="shared" ref="D42:K42" si="6">SUM(D34:D41)+D22</f>
        <v>16.03</v>
      </c>
      <c r="E42" s="1432">
        <f t="shared" si="6"/>
        <v>17.03</v>
      </c>
      <c r="F42" s="1454">
        <f t="shared" si="6"/>
        <v>867139</v>
      </c>
      <c r="G42" s="1454">
        <f t="shared" si="6"/>
        <v>280946</v>
      </c>
      <c r="H42" s="1454">
        <f t="shared" si="6"/>
        <v>163851</v>
      </c>
      <c r="I42" s="1454">
        <f t="shared" si="6"/>
        <v>100307</v>
      </c>
      <c r="J42" s="1454">
        <f t="shared" si="6"/>
        <v>12350</v>
      </c>
      <c r="K42" s="1454">
        <f t="shared" si="6"/>
        <v>1402946</v>
      </c>
      <c r="L42" s="1534">
        <f>SUM(F42:J42)</f>
        <v>1424593</v>
      </c>
      <c r="M42" s="1433">
        <f>IF(K42=L42,0,IF(K42&gt;0,(L42-K42)/K42,""))</f>
        <v>1.4999999999999999E-2</v>
      </c>
      <c r="N42" s="177" t="s">
        <v>126</v>
      </c>
    </row>
    <row r="43" spans="1:14" ht="15.75" customHeight="1">
      <c r="A43" s="1520" t="s">
        <v>1344</v>
      </c>
      <c r="B43" s="1520"/>
      <c r="C43" s="1347" t="s">
        <v>248</v>
      </c>
      <c r="D43" s="1349"/>
      <c r="E43" s="1350"/>
      <c r="F43" s="1455"/>
      <c r="G43" s="1455"/>
      <c r="H43" s="1455"/>
      <c r="I43" s="1455"/>
      <c r="J43" s="1455"/>
      <c r="K43" s="403">
        <f>[1]!F001Carryforward</f>
        <v>100000</v>
      </c>
      <c r="L43" s="12">
        <f>30991-27747</f>
        <v>3244</v>
      </c>
      <c r="M43" s="1348"/>
      <c r="N43" s="177" t="s">
        <v>248</v>
      </c>
    </row>
    <row r="44" spans="1:14" ht="25.5" customHeight="1">
      <c r="A44" s="1599" t="s">
        <v>965</v>
      </c>
      <c r="B44" s="1600"/>
      <c r="C44" s="1456" t="s">
        <v>250</v>
      </c>
      <c r="D44" s="1152">
        <f>D42</f>
        <v>16.03</v>
      </c>
      <c r="E44" s="1152">
        <f>E42</f>
        <v>17.03</v>
      </c>
      <c r="F44" s="1169">
        <f t="shared" ref="F44:J44" si="7">F42</f>
        <v>867139</v>
      </c>
      <c r="G44" s="1169">
        <f t="shared" si="7"/>
        <v>280946</v>
      </c>
      <c r="H44" s="1169">
        <f t="shared" si="7"/>
        <v>163851</v>
      </c>
      <c r="I44" s="1169">
        <f t="shared" si="7"/>
        <v>100307</v>
      </c>
      <c r="J44" s="1169">
        <f t="shared" si="7"/>
        <v>12350</v>
      </c>
      <c r="K44" s="1169">
        <f>K42+K43</f>
        <v>1502946</v>
      </c>
      <c r="L44" s="1169">
        <f>L42+L43</f>
        <v>1427837</v>
      </c>
      <c r="M44" s="1155">
        <f>IF(K44=L44,0,IF(K44&gt;0,(L44-K44)/K44,""))</f>
        <v>-0.05</v>
      </c>
      <c r="N44" s="411" t="s">
        <v>250</v>
      </c>
    </row>
    <row r="45" spans="1:14" ht="12.75" customHeight="1">
      <c r="A45" s="96"/>
      <c r="G45" s="1598" t="str">
        <f>IF(ROUND(L44,0)&lt;ROUND(GBLBudgFY,0),CONCATENATE("The district has budgeted less in the M&amp;O Fund than the General Budget Limit as calculated on page 7 of 8 by ",TEXT(GBLBudgFY-L44,"$#,###"),"."),IF(ROUND(L44,0)&gt;ROUND(GBLBudgFY,0),CONCATENATE("The district has budgeted greater in the M&amp;O Fund than the General Budget Limit as calculated on page 7 of 8 by ",TEXT(-GBLBudgFY+L44,"$#,###"),"."),IF(ROUND(L44,0)=ROUND(GBLBudgFY,0),CONCATENATE("The district has budgeted an amount in the M&amp;O Fund equal to the General Budget Limit as calculated on page 7 of 8."))))</f>
        <v>The district has budgeted an amount in the M&amp;O Fund equal to the General Budget Limit as calculated on page 7 of 8.</v>
      </c>
      <c r="H45" s="1598"/>
      <c r="I45" s="1598"/>
      <c r="J45" s="1598"/>
      <c r="K45" s="1598"/>
      <c r="L45" s="1598"/>
      <c r="M45" s="1598"/>
    </row>
    <row r="46" spans="1:14" ht="12.75" customHeight="1">
      <c r="A46" s="96" t="s">
        <v>127</v>
      </c>
      <c r="B46" s="138"/>
      <c r="C46" s="138"/>
      <c r="D46" s="138"/>
      <c r="E46" s="138"/>
      <c r="F46" s="138"/>
      <c r="G46" s="138"/>
      <c r="I46" s="196"/>
      <c r="J46" s="138"/>
      <c r="K46" s="138"/>
      <c r="L46" s="138"/>
      <c r="M46" s="196"/>
      <c r="N46" s="1291"/>
    </row>
    <row r="47" spans="1:14" s="96" customFormat="1" ht="12.75" customHeight="1">
      <c r="A47" s="197"/>
      <c r="B47" s="198"/>
      <c r="C47" s="198"/>
      <c r="D47" s="198"/>
      <c r="E47" s="199"/>
      <c r="F47" s="199"/>
      <c r="G47" s="199"/>
      <c r="H47" s="199"/>
      <c r="I47" s="199"/>
      <c r="J47" s="199"/>
      <c r="K47" s="199"/>
      <c r="L47" s="199"/>
      <c r="M47" s="199"/>
      <c r="N47" s="1"/>
    </row>
    <row r="48" spans="1:14" s="96" customFormat="1" ht="11.25" customHeight="1">
      <c r="A48" s="197"/>
      <c r="B48" s="198"/>
      <c r="C48" s="200"/>
      <c r="D48" s="198"/>
      <c r="E48" s="201"/>
      <c r="F48" s="202"/>
      <c r="G48" s="202"/>
      <c r="H48" s="202"/>
      <c r="I48" s="202"/>
      <c r="J48" s="202"/>
      <c r="K48" s="198"/>
      <c r="L48" s="202"/>
      <c r="M48" s="203"/>
      <c r="N48" s="1"/>
    </row>
    <row r="49" spans="1:13" ht="11.25" customHeight="1">
      <c r="A49" s="204"/>
      <c r="B49" s="96"/>
      <c r="C49" s="1271"/>
      <c r="D49" s="96"/>
      <c r="E49" s="205"/>
      <c r="F49" s="206"/>
      <c r="G49" s="206"/>
      <c r="H49" s="206"/>
      <c r="I49" s="206"/>
      <c r="J49" s="206"/>
      <c r="K49" s="96"/>
      <c r="L49" s="202"/>
      <c r="M49" s="207"/>
    </row>
  </sheetData>
  <sheetProtection sheet="1" formatCells="0" formatColumns="0" formatRows="0"/>
  <mergeCells count="4">
    <mergeCell ref="M1:N1"/>
    <mergeCell ref="B1:E1"/>
    <mergeCell ref="G45:M45"/>
    <mergeCell ref="A44:B44"/>
  </mergeCells>
  <conditionalFormatting sqref="G45:M45">
    <cfRule type="expression" dxfId="31" priority="17">
      <formula>ROUND(L42,0)&gt;ROUND(GBLBudgFY,0)</formula>
    </cfRule>
  </conditionalFormatting>
  <conditionalFormatting sqref="L43">
    <cfRule type="expression" dxfId="30" priority="1">
      <formula>L43=""</formula>
    </cfRule>
  </conditionalFormatting>
  <hyperlinks>
    <hyperlink ref="C12" location="Page1l4" display="4." xr:uid="{00000000-0004-0000-0200-000000000000}"/>
    <hyperlink ref="C17" location="Page1l9" display="9." xr:uid="{00000000-0004-0000-0200-000001000000}"/>
    <hyperlink ref="C38" location="Page1l27" display="27." xr:uid="{00000000-0004-0000-0200-000002000000}"/>
    <hyperlink ref="C40" location="Page1l28" display="28." xr:uid="{00000000-0004-0000-0200-000003000000}"/>
    <hyperlink ref="C41" location="Page1l29" display="29." xr:uid="{00000000-0004-0000-0200-000004000000}"/>
    <hyperlink ref="C43" location="PlannedCarryforward" display="30." xr:uid="{00000000-0004-0000-0200-000005000000}"/>
    <hyperlink ref="C42" location="Page1Line30" display="30." xr:uid="{00000000-0004-0000-0200-000006000000}"/>
    <hyperlink ref="C44" location="Page1Line32" display="32." xr:uid="{00000000-0004-0000-0200-000007000000}"/>
    <hyperlink ref="A4" location="Page1l4" display="Instructions" xr:uid="{00000000-0004-0000-0200-000008000000}"/>
  </hyperlinks>
  <printOptions horizontalCentered="1"/>
  <pageMargins left="0.25" right="0.25" top="0.25" bottom="0.25" header="0" footer="0.15"/>
  <pageSetup paperSize="5" scale="99" orientation="landscape" r:id="rId1"/>
  <headerFooter alignWithMargins="0">
    <oddFooter>&amp;L&amp;"Times New Roman,Bold"&amp;9Rev. 5/26&amp;K000000 Arizona Department of Education and Auditor General&amp;C&amp;"Times New Roman,Regular"&amp;9&amp;D  &amp;T</oddFooter>
  </headerFooter>
  <rowBreaks count="1" manualBreakCount="1">
    <brk id="47" max="6553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ransitionEvaluation="1" transitionEntry="1" codeName="Sheet4">
    <pageSetUpPr fitToPage="1"/>
  </sheetPr>
  <dimension ref="A1:Z49"/>
  <sheetViews>
    <sheetView showGridLines="0" topLeftCell="B1" zoomScaleNormal="100" workbookViewId="0">
      <selection activeCell="G24" sqref="G24"/>
    </sheetView>
  </sheetViews>
  <sheetFormatPr defaultColWidth="9.81640625" defaultRowHeight="15.6"/>
  <cols>
    <col min="1" max="1" width="3.81640625" style="97" customWidth="1"/>
    <col min="2" max="2" width="11.81640625" style="97" customWidth="1"/>
    <col min="3" max="3" width="5.81640625" style="97" customWidth="1"/>
    <col min="4" max="4" width="7.81640625" style="97" customWidth="1"/>
    <col min="5" max="8" width="8.81640625" style="97" customWidth="1"/>
    <col min="9" max="9" width="3" style="97" customWidth="1"/>
    <col min="10" max="10" width="9.81640625" style="97" customWidth="1"/>
    <col min="11" max="11" width="2.81640625" style="97" customWidth="1"/>
    <col min="12" max="12" width="8.81640625" style="97" customWidth="1"/>
    <col min="13" max="13" width="10" style="97" customWidth="1"/>
    <col min="14" max="14" width="5" style="97" customWidth="1"/>
    <col min="15" max="15" width="11" style="97" customWidth="1"/>
    <col min="16" max="16" width="4.453125" style="97" customWidth="1"/>
    <col min="17" max="17" width="3.453125" style="97" customWidth="1"/>
    <col min="18" max="19" width="10" style="97" customWidth="1"/>
    <col min="20" max="20" width="3" style="97" customWidth="1"/>
    <col min="21" max="26" width="9.81640625" style="97" customWidth="1"/>
    <col min="27" max="16384" width="9.81640625" style="97"/>
  </cols>
  <sheetData>
    <row r="1" spans="1:26" ht="15" customHeight="1">
      <c r="A1" s="1607" t="s">
        <v>56</v>
      </c>
      <c r="B1" s="1608"/>
      <c r="C1" s="1596" t="str">
        <f>DistrictName</f>
        <v>Pomerene Elementary School District</v>
      </c>
      <c r="D1" s="1597"/>
      <c r="E1" s="1597"/>
      <c r="F1" s="1597"/>
      <c r="H1" s="1270" t="s">
        <v>1</v>
      </c>
      <c r="I1" s="1605" t="str">
        <f>Cover!H1</f>
        <v>Cochise</v>
      </c>
      <c r="J1" s="1606"/>
      <c r="K1" s="134"/>
      <c r="N1" s="1270" t="s">
        <v>57</v>
      </c>
      <c r="O1" s="1284" t="str">
        <f>CTD</f>
        <v>020364000</v>
      </c>
      <c r="Q1" s="1270" t="s">
        <v>16</v>
      </c>
      <c r="R1" s="1267" t="str">
        <f>Cover!C8</f>
        <v>Proposed</v>
      </c>
      <c r="T1" s="157"/>
    </row>
    <row r="2" spans="1:26" ht="12" customHeight="1">
      <c r="H2" s="208"/>
      <c r="I2" s="209"/>
      <c r="J2" s="209"/>
      <c r="K2" s="209"/>
      <c r="R2" s="208"/>
    </row>
    <row r="3" spans="1:26" ht="11.25" customHeight="1">
      <c r="A3" s="1591" t="s">
        <v>691</v>
      </c>
      <c r="B3" s="1591"/>
      <c r="M3" s="1301"/>
      <c r="N3" s="1301"/>
      <c r="O3" s="210"/>
      <c r="T3" s="138"/>
    </row>
    <row r="4" spans="1:26" ht="12" customHeight="1">
      <c r="A4" s="211" t="s">
        <v>1068</v>
      </c>
      <c r="B4" s="211"/>
      <c r="C4" s="211"/>
      <c r="D4" s="211"/>
      <c r="E4" s="211"/>
      <c r="F4" s="211"/>
      <c r="G4" s="211"/>
      <c r="I4" s="209" t="s">
        <v>42</v>
      </c>
      <c r="K4" s="209"/>
      <c r="L4" s="1301"/>
      <c r="M4" s="1301"/>
      <c r="N4" s="210"/>
      <c r="O4" s="210"/>
      <c r="P4" s="210"/>
      <c r="Q4" s="138"/>
    </row>
    <row r="5" spans="1:26" ht="12" customHeight="1">
      <c r="B5" s="138"/>
      <c r="C5" s="138"/>
      <c r="D5" s="138"/>
      <c r="E5" s="210"/>
      <c r="F5" s="210"/>
      <c r="G5" s="210"/>
      <c r="H5" s="210"/>
      <c r="J5" s="138"/>
      <c r="K5" s="138"/>
      <c r="L5" s="138"/>
      <c r="M5" s="138"/>
      <c r="N5" s="138"/>
      <c r="O5" s="210"/>
      <c r="P5" s="210"/>
      <c r="Q5" s="210"/>
      <c r="R5" s="138"/>
    </row>
    <row r="6" spans="1:26" ht="15" customHeight="1" thickBot="1">
      <c r="A6" s="138" t="s">
        <v>128</v>
      </c>
      <c r="B6" s="138"/>
      <c r="C6" s="138"/>
      <c r="D6" s="138"/>
      <c r="E6" s="210"/>
      <c r="F6" s="210" t="s">
        <v>129</v>
      </c>
      <c r="G6" s="210" t="s">
        <v>130</v>
      </c>
      <c r="L6" s="138"/>
      <c r="M6" s="138"/>
      <c r="N6" s="148"/>
      <c r="O6" s="212"/>
      <c r="P6" s="212"/>
      <c r="Q6" s="212"/>
      <c r="R6" s="213"/>
    </row>
    <row r="7" spans="1:26" ht="12.75" customHeight="1">
      <c r="A7" s="214" t="s">
        <v>6</v>
      </c>
      <c r="B7" s="138" t="s">
        <v>894</v>
      </c>
      <c r="C7" s="215"/>
      <c r="D7" s="215"/>
      <c r="E7" s="216"/>
      <c r="F7" s="217">
        <f>[1]!F001P200Subtotal</f>
        <v>48876</v>
      </c>
      <c r="G7" s="51">
        <v>61643</v>
      </c>
      <c r="H7" s="218" t="s">
        <v>6</v>
      </c>
      <c r="J7" s="219"/>
      <c r="K7" s="220" t="s">
        <v>131</v>
      </c>
      <c r="L7" s="221"/>
      <c r="M7" s="221"/>
      <c r="N7" s="221"/>
      <c r="O7" s="222"/>
      <c r="Y7" s="223"/>
      <c r="Z7" s="223"/>
    </row>
    <row r="8" spans="1:26" ht="12.75" customHeight="1">
      <c r="A8" s="224" t="s">
        <v>8</v>
      </c>
      <c r="B8" s="234" t="s">
        <v>982</v>
      </c>
      <c r="C8" s="138"/>
      <c r="D8" s="138"/>
      <c r="E8" s="225"/>
      <c r="F8" s="226">
        <f>[1]!SPEDGiftedEdBudgFY</f>
        <v>0</v>
      </c>
      <c r="G8" s="52"/>
      <c r="H8" s="218" t="s">
        <v>8</v>
      </c>
      <c r="J8" s="219"/>
      <c r="K8" s="138" t="s">
        <v>992</v>
      </c>
      <c r="N8" s="227">
        <v>6350</v>
      </c>
      <c r="O8" s="1428">
        <v>11500</v>
      </c>
      <c r="Y8" s="223"/>
      <c r="Z8" s="223"/>
    </row>
    <row r="9" spans="1:26" ht="12.75" customHeight="1">
      <c r="A9" s="224" t="s">
        <v>22</v>
      </c>
      <c r="B9" s="234" t="s">
        <v>983</v>
      </c>
      <c r="C9" s="138"/>
      <c r="D9" s="138"/>
      <c r="E9" s="225"/>
      <c r="F9" s="226">
        <f>[1]!SPEDRemedialEdBudgFY</f>
        <v>0</v>
      </c>
      <c r="G9" s="52"/>
      <c r="H9" s="218" t="s">
        <v>22</v>
      </c>
      <c r="J9" s="219"/>
      <c r="K9" s="138" t="s">
        <v>993</v>
      </c>
      <c r="N9" s="228">
        <v>6330</v>
      </c>
      <c r="O9" s="42"/>
      <c r="Y9" s="223"/>
      <c r="Z9" s="223"/>
    </row>
    <row r="10" spans="1:26" ht="12.75" customHeight="1">
      <c r="A10" s="229" t="s">
        <v>40</v>
      </c>
      <c r="B10" s="234" t="s">
        <v>984</v>
      </c>
      <c r="C10" s="234"/>
      <c r="D10" s="138"/>
      <c r="E10" s="225"/>
      <c r="F10" s="226">
        <f>[1]!SPEDELLIncCostBudgFY</f>
        <v>0</v>
      </c>
      <c r="G10" s="52"/>
      <c r="H10" s="218" t="s">
        <v>40</v>
      </c>
      <c r="J10" s="219"/>
      <c r="K10" s="138"/>
      <c r="Y10" s="223"/>
      <c r="Z10" s="223"/>
    </row>
    <row r="11" spans="1:26" ht="12.75" customHeight="1">
      <c r="A11" s="214" t="s">
        <v>98</v>
      </c>
      <c r="B11" s="138" t="s">
        <v>985</v>
      </c>
      <c r="C11" s="234"/>
      <c r="D11" s="234"/>
      <c r="E11" s="225"/>
      <c r="F11" s="226">
        <f>[1]!SPEDELLCompInstrBudgFY</f>
        <v>0</v>
      </c>
      <c r="G11" s="52"/>
      <c r="H11" s="230" t="s">
        <v>98</v>
      </c>
      <c r="J11" s="219"/>
      <c r="L11" s="138"/>
      <c r="M11" s="1305"/>
      <c r="N11" s="212"/>
      <c r="O11" s="138"/>
      <c r="P11" s="138"/>
      <c r="Q11" s="138"/>
      <c r="R11" s="138"/>
      <c r="Y11" s="223"/>
      <c r="Z11" s="223"/>
    </row>
    <row r="12" spans="1:26" ht="12.75" customHeight="1">
      <c r="A12" s="231" t="s">
        <v>99</v>
      </c>
      <c r="B12" s="234" t="s">
        <v>986</v>
      </c>
      <c r="C12" s="257"/>
      <c r="D12" s="257"/>
      <c r="E12" s="235"/>
      <c r="F12" s="226">
        <f>[1]!SPEDVocTechEdBudgFY</f>
        <v>0</v>
      </c>
      <c r="G12" s="52"/>
      <c r="H12" s="218" t="s">
        <v>99</v>
      </c>
      <c r="J12" s="219"/>
      <c r="K12" s="1301" t="s">
        <v>1367</v>
      </c>
      <c r="N12" s="138"/>
      <c r="O12" s="1305"/>
      <c r="P12" s="212"/>
      <c r="Q12" s="138"/>
      <c r="R12" s="138"/>
      <c r="Y12" s="223"/>
      <c r="Z12" s="223"/>
    </row>
    <row r="13" spans="1:26" ht="12.75" customHeight="1">
      <c r="A13" s="231" t="s">
        <v>100</v>
      </c>
      <c r="B13" s="234" t="s">
        <v>987</v>
      </c>
      <c r="C13" s="138"/>
      <c r="D13" s="138"/>
      <c r="E13" s="225"/>
      <c r="F13" s="232">
        <f>[1]!SPEDCareerEdBudgFY</f>
        <v>0</v>
      </c>
      <c r="G13" s="53"/>
      <c r="H13" s="233" t="s">
        <v>100</v>
      </c>
      <c r="J13" s="219"/>
      <c r="K13" s="138" t="s">
        <v>991</v>
      </c>
      <c r="Q13" s="1305"/>
      <c r="R13" s="29">
        <v>0</v>
      </c>
      <c r="Y13" s="223"/>
      <c r="Z13" s="223"/>
    </row>
    <row r="14" spans="1:26" ht="12.75" customHeight="1" thickBot="1">
      <c r="A14" s="231" t="s">
        <v>102</v>
      </c>
      <c r="B14" s="234" t="s">
        <v>988</v>
      </c>
      <c r="C14" s="234"/>
      <c r="D14" s="234"/>
      <c r="E14" s="235"/>
      <c r="F14" s="1090">
        <f>[1]!JTEDBudgFY</f>
        <v>0</v>
      </c>
      <c r="G14" s="1091"/>
      <c r="H14" s="233" t="s">
        <v>102</v>
      </c>
      <c r="I14" s="1609" t="str">
        <f>IF(SUM(G7:G14)=SUM('Page 1'!L34:L34),"","Invalid. The amount should equal the total budgeted amount reported on line 24, page 1.")</f>
        <v/>
      </c>
      <c r="J14" s="1609"/>
      <c r="K14" s="138"/>
      <c r="Q14" s="1305"/>
      <c r="R14" s="236"/>
      <c r="Y14" s="223"/>
      <c r="Z14" s="223"/>
    </row>
    <row r="15" spans="1:26" ht="12.75" customHeight="1">
      <c r="A15" s="237" t="s">
        <v>103</v>
      </c>
      <c r="B15" s="138" t="s">
        <v>989</v>
      </c>
      <c r="C15" s="138"/>
      <c r="D15" s="138"/>
      <c r="E15" s="1603"/>
      <c r="F15" s="1088"/>
      <c r="G15" s="1089"/>
      <c r="H15" s="218"/>
      <c r="I15" s="1609"/>
      <c r="J15" s="1609"/>
      <c r="K15" s="238" t="s">
        <v>990</v>
      </c>
      <c r="L15" s="306"/>
      <c r="Q15" s="239"/>
      <c r="R15" s="138"/>
      <c r="Y15" s="223"/>
      <c r="Z15" s="223"/>
    </row>
    <row r="16" spans="1:26" ht="12.75" customHeight="1" thickBot="1">
      <c r="A16" s="240"/>
      <c r="B16" s="138" t="s">
        <v>132</v>
      </c>
      <c r="C16" s="138"/>
      <c r="D16" s="138"/>
      <c r="E16" s="1604"/>
      <c r="F16" s="1196">
        <f>SUM(F7:F14)</f>
        <v>48876</v>
      </c>
      <c r="G16" s="1196">
        <f>SUM(G7:G14)</f>
        <v>61643</v>
      </c>
      <c r="H16" s="241" t="s">
        <v>103</v>
      </c>
      <c r="I16" s="1609"/>
      <c r="J16" s="1609"/>
      <c r="Y16" s="223"/>
      <c r="Z16" s="223"/>
    </row>
    <row r="17" spans="1:26" ht="12.75" customHeight="1" thickTop="1">
      <c r="A17" s="240"/>
      <c r="B17" s="138"/>
      <c r="C17" s="138"/>
      <c r="D17" s="138"/>
      <c r="E17" s="138"/>
      <c r="F17" s="138"/>
      <c r="G17" s="138"/>
      <c r="H17" s="1291"/>
      <c r="I17" s="1609"/>
      <c r="J17" s="1609"/>
      <c r="L17" s="138"/>
      <c r="N17" s="1305"/>
      <c r="O17" s="1271"/>
      <c r="P17" s="212"/>
      <c r="Q17" s="138"/>
      <c r="Y17" s="223"/>
      <c r="Z17" s="223"/>
    </row>
    <row r="18" spans="1:26" ht="12.75" customHeight="1">
      <c r="A18" s="237" t="s">
        <v>104</v>
      </c>
      <c r="B18" s="242" t="s">
        <v>133</v>
      </c>
      <c r="C18" s="242"/>
      <c r="D18" s="242"/>
      <c r="E18" s="242"/>
      <c r="F18" s="242"/>
      <c r="G18" s="242"/>
      <c r="H18" s="243"/>
      <c r="I18" s="1609"/>
      <c r="J18" s="1609"/>
      <c r="K18" s="220" t="s">
        <v>134</v>
      </c>
      <c r="L18" s="220"/>
      <c r="M18" s="221"/>
      <c r="N18" s="221"/>
      <c r="O18" s="221"/>
      <c r="P18" s="244"/>
      <c r="Q18" s="244"/>
      <c r="R18" s="244"/>
      <c r="Y18" s="223"/>
      <c r="Z18" s="223"/>
    </row>
    <row r="19" spans="1:26" ht="12.75" customHeight="1">
      <c r="A19" s="243"/>
      <c r="B19" s="242" t="s">
        <v>135</v>
      </c>
      <c r="C19" s="242"/>
      <c r="D19" s="242"/>
      <c r="E19" s="243"/>
      <c r="F19" s="245">
        <f t="array" ref="F19">[1]!IEPTransportCosts</f>
        <v>0</v>
      </c>
      <c r="G19" s="78">
        <v>0</v>
      </c>
      <c r="H19" s="246" t="s">
        <v>104</v>
      </c>
      <c r="J19" s="219"/>
      <c r="K19" s="247" t="s">
        <v>1069</v>
      </c>
      <c r="L19" s="135"/>
      <c r="M19" s="135"/>
      <c r="N19" s="135"/>
      <c r="O19" s="135"/>
      <c r="P19" s="135"/>
      <c r="Q19" s="248"/>
      <c r="R19" s="30">
        <v>42933</v>
      </c>
      <c r="Y19" s="223"/>
      <c r="Z19" s="223"/>
    </row>
    <row r="20" spans="1:26" ht="12.75" customHeight="1">
      <c r="E20" s="249"/>
      <c r="K20" s="135" t="s">
        <v>136</v>
      </c>
      <c r="L20" s="135"/>
      <c r="M20" s="135"/>
      <c r="N20" s="135"/>
      <c r="O20" s="135"/>
      <c r="P20" s="135"/>
      <c r="Q20" s="244"/>
      <c r="R20" s="244"/>
      <c r="Y20" s="223"/>
      <c r="Z20" s="223"/>
    </row>
    <row r="21" spans="1:26" ht="12.75" customHeight="1">
      <c r="K21" s="135" t="s">
        <v>137</v>
      </c>
      <c r="L21" s="135"/>
      <c r="M21" s="135"/>
      <c r="N21" s="135"/>
      <c r="O21" s="135"/>
      <c r="P21" s="135"/>
      <c r="Q21" s="244"/>
      <c r="R21" s="244"/>
      <c r="Y21" s="223"/>
      <c r="Z21" s="223"/>
    </row>
    <row r="22" spans="1:26" ht="12" customHeight="1">
      <c r="A22" s="1122" t="s">
        <v>138</v>
      </c>
      <c r="C22" s="196"/>
      <c r="D22" s="196"/>
      <c r="E22" s="196"/>
      <c r="F22" s="250"/>
      <c r="G22" s="138"/>
      <c r="H22" s="138"/>
      <c r="I22" s="118"/>
      <c r="O22" s="138"/>
      <c r="P22" s="138"/>
      <c r="Q22" s="138"/>
      <c r="Y22" s="223"/>
      <c r="Z22" s="223"/>
    </row>
    <row r="23" spans="1:26" ht="12.75" customHeight="1">
      <c r="A23" s="251" t="s">
        <v>139</v>
      </c>
      <c r="C23" s="196"/>
      <c r="D23" s="196"/>
      <c r="F23" s="1305" t="s">
        <v>1066</v>
      </c>
      <c r="G23" s="252">
        <f>SPEDTeacher</f>
        <v>15</v>
      </c>
      <c r="H23" s="138"/>
      <c r="K23" s="1301"/>
      <c r="O23" s="138"/>
      <c r="P23" s="253"/>
      <c r="Q23" s="239"/>
      <c r="R23" s="138"/>
      <c r="S23" s="138"/>
      <c r="Y23" s="223"/>
      <c r="Z23" s="223"/>
    </row>
    <row r="24" spans="1:26" ht="12.75" customHeight="1">
      <c r="F24" s="1305" t="s">
        <v>1067</v>
      </c>
      <c r="G24" s="252">
        <f>SPEDStaff</f>
        <v>15</v>
      </c>
      <c r="H24" s="138"/>
      <c r="K24" s="1611"/>
      <c r="L24" s="1611"/>
      <c r="M24" s="1611"/>
      <c r="N24" s="1611"/>
      <c r="O24" s="1611"/>
      <c r="P24" s="1611"/>
      <c r="Q24" s="254"/>
      <c r="R24" s="255"/>
      <c r="Y24" s="223"/>
      <c r="Z24" s="223"/>
    </row>
    <row r="25" spans="1:26" ht="12.75" customHeight="1">
      <c r="F25" s="138"/>
      <c r="G25" s="138"/>
      <c r="H25" s="138"/>
      <c r="K25" s="1610"/>
      <c r="L25" s="1610"/>
      <c r="M25" s="1610"/>
      <c r="N25" s="1610"/>
      <c r="O25" s="1610"/>
      <c r="P25" s="256"/>
      <c r="Q25" s="257"/>
      <c r="R25" s="257"/>
      <c r="Y25" s="223"/>
      <c r="Z25" s="223"/>
    </row>
    <row r="26" spans="1:26" ht="13.5" customHeight="1">
      <c r="A26" s="1602"/>
      <c r="B26" s="1602"/>
      <c r="C26" s="1602"/>
      <c r="D26" s="1602"/>
      <c r="G26" s="138"/>
      <c r="H26" s="138"/>
      <c r="J26" s="258"/>
      <c r="K26" s="259"/>
      <c r="L26" s="234"/>
      <c r="M26" s="234"/>
      <c r="N26" s="234"/>
      <c r="O26" s="234"/>
      <c r="P26" s="257"/>
      <c r="Q26" s="257"/>
      <c r="R26" s="260"/>
      <c r="Y26" s="223"/>
      <c r="Z26" s="223"/>
    </row>
    <row r="27" spans="1:26" ht="12.75" customHeight="1">
      <c r="A27" s="1250"/>
      <c r="C27" s="209"/>
      <c r="F27" s="138"/>
      <c r="K27" s="259"/>
      <c r="L27" s="234"/>
      <c r="M27" s="234"/>
      <c r="N27" s="234"/>
      <c r="O27" s="234"/>
      <c r="P27" s="257"/>
      <c r="Q27" s="257"/>
      <c r="R27" s="260"/>
      <c r="S27" s="1291"/>
      <c r="Y27" s="223"/>
      <c r="Z27" s="223"/>
    </row>
    <row r="28" spans="1:26" ht="13.5" customHeight="1">
      <c r="C28" s="209"/>
      <c r="E28" s="1251"/>
      <c r="F28" s="266"/>
      <c r="K28" s="259"/>
      <c r="L28" s="261"/>
      <c r="M28" s="262"/>
      <c r="N28" s="262"/>
      <c r="O28" s="263"/>
      <c r="P28" s="257"/>
      <c r="Q28" s="257"/>
      <c r="R28" s="264"/>
      <c r="S28" s="1291"/>
      <c r="Y28" s="223"/>
      <c r="Z28" s="223"/>
    </row>
    <row r="29" spans="1:26" ht="15" customHeight="1">
      <c r="E29" s="1251"/>
      <c r="F29" s="268"/>
      <c r="G29" s="1294"/>
      <c r="K29" s="259"/>
      <c r="L29" s="261"/>
      <c r="M29" s="262"/>
      <c r="N29" s="262"/>
      <c r="O29" s="263"/>
      <c r="P29" s="257"/>
      <c r="Q29" s="257"/>
      <c r="R29" s="264"/>
      <c r="S29" s="1291"/>
      <c r="Y29" s="1601"/>
      <c r="Z29" s="1601"/>
    </row>
    <row r="30" spans="1:26" ht="13.5" customHeight="1">
      <c r="B30" s="138"/>
      <c r="D30" s="138"/>
      <c r="E30" s="1305"/>
      <c r="F30" s="1307"/>
      <c r="G30" s="1215"/>
      <c r="K30" s="259"/>
      <c r="L30" s="261"/>
      <c r="M30" s="234"/>
      <c r="N30" s="234"/>
      <c r="O30" s="265"/>
      <c r="P30" s="257"/>
      <c r="Q30" s="257"/>
      <c r="R30" s="264"/>
      <c r="S30" s="1291"/>
      <c r="Y30" s="1601"/>
      <c r="Z30" s="1601"/>
    </row>
    <row r="31" spans="1:26" ht="12.75" customHeight="1">
      <c r="A31" s="1301"/>
      <c r="C31" s="196"/>
      <c r="D31" s="196"/>
      <c r="I31" s="138"/>
      <c r="K31" s="267"/>
      <c r="L31" s="234"/>
      <c r="M31" s="234"/>
      <c r="N31" s="234"/>
      <c r="O31" s="265"/>
      <c r="P31" s="257"/>
      <c r="Q31" s="257"/>
      <c r="R31" s="264"/>
      <c r="S31" s="1291"/>
    </row>
    <row r="32" spans="1:26" ht="12.75" customHeight="1">
      <c r="A32" s="1291"/>
      <c r="B32" s="1297"/>
      <c r="C32" s="1297"/>
      <c r="D32" s="1297"/>
      <c r="E32" s="1297"/>
      <c r="I32" s="1301"/>
      <c r="K32" s="259"/>
      <c r="L32" s="234"/>
      <c r="M32" s="234"/>
      <c r="N32" s="234"/>
      <c r="O32" s="265"/>
      <c r="P32" s="257"/>
      <c r="Q32" s="257"/>
      <c r="R32" s="264"/>
      <c r="S32" s="1291"/>
    </row>
    <row r="33" spans="1:19" ht="13.5" customHeight="1">
      <c r="A33" s="1214"/>
      <c r="B33" s="1307"/>
      <c r="C33" s="1307"/>
      <c r="D33" s="1307"/>
      <c r="E33" s="1307"/>
      <c r="I33" s="138"/>
      <c r="K33" s="259"/>
      <c r="L33" s="234"/>
      <c r="M33" s="234"/>
      <c r="N33" s="234"/>
      <c r="O33" s="265"/>
      <c r="P33" s="257"/>
      <c r="Q33" s="257"/>
      <c r="R33" s="264"/>
      <c r="S33" s="1291"/>
    </row>
    <row r="34" spans="1:19" ht="12.75" customHeight="1">
      <c r="E34" s="269"/>
      <c r="I34" s="138"/>
      <c r="K34" s="267"/>
      <c r="L34" s="261"/>
      <c r="M34" s="234"/>
      <c r="N34" s="234"/>
      <c r="O34" s="265"/>
      <c r="P34" s="257"/>
      <c r="Q34" s="257"/>
      <c r="R34" s="264"/>
      <c r="S34" s="1291"/>
    </row>
    <row r="35" spans="1:19" ht="12.75" customHeight="1">
      <c r="I35" s="138"/>
      <c r="K35" s="257"/>
      <c r="L35" s="234"/>
      <c r="M35" s="234"/>
      <c r="N35" s="234"/>
      <c r="O35" s="234"/>
      <c r="P35" s="234"/>
      <c r="Q35" s="257"/>
      <c r="R35" s="234"/>
      <c r="S35" s="1291"/>
    </row>
    <row r="36" spans="1:19" ht="12.75" customHeight="1">
      <c r="I36" s="138"/>
      <c r="L36" s="138"/>
      <c r="M36" s="138"/>
      <c r="N36" s="138"/>
      <c r="O36" s="138"/>
      <c r="P36" s="138"/>
      <c r="R36" s="138"/>
      <c r="S36" s="1291"/>
    </row>
    <row r="37" spans="1:19" ht="12.75" customHeight="1">
      <c r="L37" s="230"/>
      <c r="M37" s="138"/>
      <c r="N37" s="138"/>
      <c r="O37" s="138"/>
      <c r="P37" s="138"/>
      <c r="R37" s="270"/>
    </row>
    <row r="38" spans="1:19" ht="12.75" customHeight="1">
      <c r="L38" s="230"/>
      <c r="M38" s="138"/>
      <c r="N38" s="138"/>
      <c r="O38" s="138"/>
      <c r="P38" s="138"/>
      <c r="R38" s="270"/>
    </row>
    <row r="39" spans="1:19" ht="12.75" customHeight="1">
      <c r="K39" s="138"/>
      <c r="L39" s="138"/>
      <c r="M39" s="138"/>
      <c r="N39" s="138"/>
      <c r="O39" s="138"/>
      <c r="P39" s="138"/>
    </row>
    <row r="40" spans="1:19" ht="12.75" customHeight="1">
      <c r="K40" s="138"/>
      <c r="L40" s="138"/>
      <c r="M40" s="138"/>
      <c r="N40" s="138"/>
      <c r="O40" s="138"/>
      <c r="P40" s="138"/>
    </row>
    <row r="41" spans="1:19" ht="13.5" customHeight="1">
      <c r="K41" s="138"/>
    </row>
    <row r="42" spans="1:19" ht="12.75" customHeight="1">
      <c r="I42" s="138"/>
      <c r="J42" s="271"/>
      <c r="S42" s="138"/>
    </row>
    <row r="43" spans="1:19" ht="13.5" hidden="1" customHeight="1"/>
    <row r="44" spans="1:19" ht="13.5" customHeight="1"/>
    <row r="45" spans="1:19" ht="13.5" customHeight="1">
      <c r="I45" s="138"/>
    </row>
    <row r="46" spans="1:19" ht="13.5" customHeight="1">
      <c r="I46" s="1301"/>
    </row>
    <row r="47" spans="1:19" ht="6" customHeight="1">
      <c r="I47" s="138"/>
      <c r="J47" s="138"/>
    </row>
    <row r="48" spans="1:19" ht="12" customHeight="1">
      <c r="J48" s="138"/>
    </row>
    <row r="49" spans="19:20" ht="12.75" customHeight="1">
      <c r="S49" s="138"/>
      <c r="T49" s="1305"/>
    </row>
  </sheetData>
  <sheetProtection sheet="1" formatCells="0" formatColumns="0" formatRows="0"/>
  <mergeCells count="11">
    <mergeCell ref="Z29:Z30"/>
    <mergeCell ref="Y29:Y30"/>
    <mergeCell ref="A26:D26"/>
    <mergeCell ref="C1:F1"/>
    <mergeCell ref="E15:E16"/>
    <mergeCell ref="I1:J1"/>
    <mergeCell ref="A1:B1"/>
    <mergeCell ref="I14:J18"/>
    <mergeCell ref="K25:O25"/>
    <mergeCell ref="K24:P24"/>
    <mergeCell ref="A3:B3"/>
  </mergeCells>
  <dataValidations disablePrompts="1" count="1">
    <dataValidation type="whole" operator="lessThanOrEqual" allowBlank="1" showInputMessage="1" showErrorMessage="1" error="The employer share of retirement system expense for the teacher salary increases may not exceed the ASRS contribution rate of 11.5%." sqref="R32" xr:uid="{00000000-0002-0000-0300-000000000000}">
      <formula1>R31*0.115</formula1>
    </dataValidation>
  </dataValidations>
  <hyperlinks>
    <hyperlink ref="A10" location="Page2l45" display="4." xr:uid="{00000000-0004-0000-0300-000000000000}"/>
    <hyperlink ref="A11" location="Page2l45" display="5." xr:uid="{00000000-0004-0000-0300-000001000000}"/>
    <hyperlink ref="A4:F4" location="Page2n1" display="SPECIAL EDUCATION PROGRAMS BY TYPE (M&amp;O Fund Program 200)" xr:uid="{00000000-0004-0000-0300-000002000000}"/>
    <hyperlink ref="A7" location="Page2n1" display="1." xr:uid="{00000000-0004-0000-0300-000003000000}"/>
    <hyperlink ref="K7:N7" location="AuditServices" display="Expenditures Budgeted for Audit Services" xr:uid="{00000000-0004-0000-0300-000004000000}"/>
    <hyperlink ref="K18:O18" location="MOFoodService" display="Expenditures Budgeted in the M&amp;O Fund for Food Service" xr:uid="{00000000-0004-0000-0300-000005000000}"/>
    <hyperlink ref="A3" location="Page2n1" display="Instructions" xr:uid="{00000000-0004-0000-0300-000006000000}"/>
  </hyperlinks>
  <printOptions horizontalCentered="1"/>
  <pageMargins left="0.25" right="0.25" top="0.25" bottom="0.25" header="0" footer="0.15"/>
  <pageSetup paperSize="5" scale="92" orientation="landscape" r:id="rId1"/>
  <headerFooter alignWithMargins="0">
    <oddFooter>&amp;L&amp;"Times New Roman,Bold"&amp;9Rev. 5/26&amp;K000000 Arizona Department of Education and Auditor General&amp;C&amp;"Times New Roman,Regular"&amp;9&amp;D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Y43"/>
  <sheetViews>
    <sheetView showGridLines="0" zoomScaleNormal="100" workbookViewId="0">
      <selection activeCell="D6" sqref="D6:E7"/>
    </sheetView>
  </sheetViews>
  <sheetFormatPr defaultColWidth="8.81640625" defaultRowHeight="15"/>
  <cols>
    <col min="1" max="1" width="38.81640625" customWidth="1"/>
    <col min="2" max="2" width="4" customWidth="1"/>
    <col min="3" max="3" width="3.54296875" customWidth="1"/>
    <col min="4" max="11" width="11.81640625" customWidth="1"/>
    <col min="12" max="12" width="6.81640625" customWidth="1"/>
    <col min="13" max="13" width="3.81640625" customWidth="1"/>
    <col min="14" max="14" width="2" customWidth="1"/>
    <col min="15" max="15" width="14" customWidth="1"/>
    <col min="16" max="16" width="7.453125" customWidth="1"/>
    <col min="17" max="17" width="8.81640625" customWidth="1"/>
    <col min="18" max="18" width="20.81640625" customWidth="1"/>
    <col min="19" max="25" width="8.81640625" customWidth="1"/>
  </cols>
  <sheetData>
    <row r="1" spans="1:25" ht="16.5" customHeight="1">
      <c r="A1" s="1270" t="s">
        <v>140</v>
      </c>
      <c r="B1" s="1596" t="str">
        <f>DistrictName</f>
        <v>Pomerene Elementary School District</v>
      </c>
      <c r="C1" s="1612"/>
      <c r="D1" s="1612"/>
      <c r="E1" s="1612"/>
      <c r="F1" s="1270" t="s">
        <v>1</v>
      </c>
      <c r="G1" s="272" t="str">
        <f>Cover!H1</f>
        <v>Cochise</v>
      </c>
      <c r="J1" s="227" t="s">
        <v>57</v>
      </c>
      <c r="K1" s="98" t="str">
        <f>Cover!S1</f>
        <v>020364000</v>
      </c>
      <c r="M1" s="1270" t="s">
        <v>16</v>
      </c>
      <c r="N1" s="273" t="str">
        <f>Cover!C8</f>
        <v>Proposed</v>
      </c>
      <c r="O1" s="274"/>
    </row>
    <row r="2" spans="1:25" ht="22.5" customHeight="1">
      <c r="A2" s="1123" t="s">
        <v>141</v>
      </c>
      <c r="B2" s="275"/>
      <c r="C2" s="275"/>
      <c r="D2" s="1613" t="s">
        <v>142</v>
      </c>
      <c r="E2" s="1613"/>
      <c r="F2" s="1613"/>
      <c r="G2" s="1613"/>
      <c r="H2" s="1613"/>
      <c r="I2" s="1613"/>
      <c r="J2" s="1613"/>
      <c r="K2" s="1613"/>
      <c r="L2" s="1613"/>
      <c r="M2" s="96"/>
      <c r="N2" s="96"/>
    </row>
    <row r="3" spans="1:25" ht="11.25" customHeight="1">
      <c r="A3" s="1476" t="s">
        <v>691</v>
      </c>
      <c r="B3" s="276"/>
      <c r="C3" s="277"/>
      <c r="D3" s="278"/>
      <c r="E3" s="279"/>
      <c r="F3" s="280"/>
      <c r="G3" s="281"/>
      <c r="H3" s="282"/>
      <c r="I3" s="1124" t="s">
        <v>143</v>
      </c>
      <c r="J3" s="1614" t="s">
        <v>79</v>
      </c>
      <c r="K3" s="1615"/>
      <c r="L3" s="282" t="s">
        <v>86</v>
      </c>
      <c r="M3" s="1"/>
      <c r="N3" s="1"/>
    </row>
    <row r="4" spans="1:25" ht="11.25" customHeight="1">
      <c r="A4" s="1379" t="s">
        <v>87</v>
      </c>
      <c r="B4" s="116"/>
      <c r="C4" s="1380"/>
      <c r="D4" s="1381" t="s">
        <v>81</v>
      </c>
      <c r="E4" s="1127" t="s">
        <v>144</v>
      </c>
      <c r="F4" s="1382" t="s">
        <v>145</v>
      </c>
      <c r="G4" s="4" t="s">
        <v>82</v>
      </c>
      <c r="H4" s="1382" t="s">
        <v>146</v>
      </c>
      <c r="I4" s="1382" t="s">
        <v>147</v>
      </c>
      <c r="J4" s="1383" t="s">
        <v>129</v>
      </c>
      <c r="K4" s="1383" t="s">
        <v>130</v>
      </c>
      <c r="L4" s="1127" t="s">
        <v>89</v>
      </c>
      <c r="M4" s="1"/>
      <c r="N4" s="1"/>
    </row>
    <row r="5" spans="1:25" ht="11.25" customHeight="1">
      <c r="A5" s="1384"/>
      <c r="B5" s="1385"/>
      <c r="C5" s="1386"/>
      <c r="D5" s="1387" t="s">
        <v>90</v>
      </c>
      <c r="E5" s="172" t="s">
        <v>91</v>
      </c>
      <c r="F5" s="1388" t="s">
        <v>148</v>
      </c>
      <c r="G5" s="171">
        <v>6600</v>
      </c>
      <c r="H5" s="1382">
        <v>6700</v>
      </c>
      <c r="I5" s="1382">
        <v>6800</v>
      </c>
      <c r="J5" s="1389">
        <f>PriorFiscalYear</f>
        <v>2026</v>
      </c>
      <c r="K5" s="1389">
        <f>Cover!E3</f>
        <v>2027</v>
      </c>
      <c r="L5" s="1389" t="s">
        <v>94</v>
      </c>
      <c r="M5" s="1"/>
      <c r="N5" s="1"/>
    </row>
    <row r="6" spans="1:25" ht="12" customHeight="1">
      <c r="A6" s="101" t="s">
        <v>149</v>
      </c>
      <c r="B6" s="96"/>
      <c r="C6" s="175" t="s">
        <v>6</v>
      </c>
      <c r="D6" s="1390">
        <f>81535*2</f>
        <v>163070</v>
      </c>
      <c r="E6" s="1390">
        <f>20374*2</f>
        <v>40748</v>
      </c>
      <c r="F6" s="1391"/>
      <c r="G6" s="1392"/>
      <c r="H6" s="1393"/>
      <c r="I6" s="1393"/>
      <c r="J6" s="1394">
        <f t="array" ref="J6">[1]!F010F1000</f>
        <v>186560</v>
      </c>
      <c r="K6" s="1395">
        <f t="shared" ref="K6:K12" si="0">SUM(D6:I6)</f>
        <v>203818</v>
      </c>
      <c r="L6" s="1396">
        <f t="shared" ref="L6:L11" si="1">IF(J6=K6,0,IF(J6&gt;0,(K6-J6)/J6,""))</f>
        <v>9.2999999999999999E-2</v>
      </c>
      <c r="M6" s="415" t="s">
        <v>6</v>
      </c>
      <c r="N6" s="177"/>
    </row>
    <row r="7" spans="1:25" ht="12" customHeight="1">
      <c r="A7" s="101" t="s">
        <v>150</v>
      </c>
      <c r="B7" s="96"/>
      <c r="C7" s="175" t="s">
        <v>8</v>
      </c>
      <c r="D7" s="1397">
        <v>40768</v>
      </c>
      <c r="E7" s="1397">
        <f>10192+19</f>
        <v>10211</v>
      </c>
      <c r="F7" s="1397"/>
      <c r="G7" s="1397"/>
      <c r="H7" s="1397"/>
      <c r="I7" s="1397"/>
      <c r="J7" s="1394">
        <f t="array" ref="J7">[1]!F010F2100</f>
        <v>8700</v>
      </c>
      <c r="K7" s="1395">
        <f t="shared" si="0"/>
        <v>50979</v>
      </c>
      <c r="L7" s="1396">
        <f t="shared" si="1"/>
        <v>4.8600000000000003</v>
      </c>
      <c r="M7" s="1398" t="s">
        <v>8</v>
      </c>
      <c r="N7" s="288"/>
      <c r="O7" s="269"/>
      <c r="P7" s="269"/>
      <c r="Q7" s="271"/>
      <c r="R7" s="269"/>
      <c r="S7" s="289"/>
      <c r="T7" s="290"/>
      <c r="U7" s="290"/>
      <c r="V7" s="290"/>
      <c r="W7" s="290"/>
      <c r="X7" s="290"/>
      <c r="Y7" s="290"/>
    </row>
    <row r="8" spans="1:25" ht="12" customHeight="1">
      <c r="A8" s="101" t="s">
        <v>151</v>
      </c>
      <c r="B8" s="96"/>
      <c r="C8" s="175" t="s">
        <v>22</v>
      </c>
      <c r="D8" s="1399"/>
      <c r="E8" s="1399"/>
      <c r="F8" s="5"/>
      <c r="G8" s="5"/>
      <c r="H8" s="1400"/>
      <c r="I8" s="5"/>
      <c r="J8" s="1394">
        <f t="array" ref="J8">[1]!F010F2200</f>
        <v>0</v>
      </c>
      <c r="K8" s="1395">
        <f t="shared" si="0"/>
        <v>0</v>
      </c>
      <c r="L8" s="1396">
        <f t="shared" si="1"/>
        <v>0</v>
      </c>
      <c r="M8" s="1398" t="s">
        <v>22</v>
      </c>
      <c r="N8" s="177"/>
      <c r="O8" s="269"/>
    </row>
    <row r="9" spans="1:25" s="153" customFormat="1" ht="12" customHeight="1">
      <c r="A9" s="1401" t="s">
        <v>152</v>
      </c>
      <c r="B9" s="204"/>
      <c r="C9" s="1435" t="s">
        <v>40</v>
      </c>
      <c r="D9" s="1402"/>
      <c r="E9" s="1402"/>
      <c r="F9" s="1393"/>
      <c r="G9" s="1402"/>
      <c r="H9" s="1402"/>
      <c r="I9" s="1402"/>
      <c r="J9" s="1403">
        <f t="array" ref="J9">[1]!F010F2310</f>
        <v>0</v>
      </c>
      <c r="K9" s="1395">
        <f t="shared" si="0"/>
        <v>0</v>
      </c>
      <c r="L9" s="1404">
        <f t="shared" si="1"/>
        <v>0</v>
      </c>
      <c r="M9" s="415" t="s">
        <v>40</v>
      </c>
      <c r="N9" s="292"/>
    </row>
    <row r="10" spans="1:25" ht="12" customHeight="1">
      <c r="A10" s="1401" t="s">
        <v>153</v>
      </c>
      <c r="B10" s="96"/>
      <c r="C10" s="175" t="s">
        <v>98</v>
      </c>
      <c r="D10" s="1405"/>
      <c r="E10" s="1405"/>
      <c r="F10" s="1405"/>
      <c r="G10" s="1406"/>
      <c r="H10" s="1407"/>
      <c r="I10" s="1408"/>
      <c r="J10" s="1403" cm="1">
        <f t="array" ref="J10">[1]!F010F2510</f>
        <v>0</v>
      </c>
      <c r="K10" s="1395">
        <f t="shared" si="0"/>
        <v>0</v>
      </c>
      <c r="L10" s="1409">
        <f t="shared" si="1"/>
        <v>0</v>
      </c>
      <c r="M10" s="415" t="s">
        <v>98</v>
      </c>
      <c r="N10" s="177"/>
    </row>
    <row r="11" spans="1:25" ht="12" customHeight="1">
      <c r="A11" s="784" t="s">
        <v>1361</v>
      </c>
      <c r="B11" s="96"/>
      <c r="C11" s="175" t="s">
        <v>99</v>
      </c>
      <c r="D11" s="1393"/>
      <c r="E11" s="1393"/>
      <c r="F11" s="1393"/>
      <c r="G11" s="1405"/>
      <c r="H11" s="1406"/>
      <c r="I11" s="1407"/>
      <c r="J11" s="1411">
        <f t="array" ref="J11">[1]!F010F3300</f>
        <v>0</v>
      </c>
      <c r="K11" s="1411">
        <f t="shared" si="0"/>
        <v>0</v>
      </c>
      <c r="L11" s="1412">
        <f t="shared" si="1"/>
        <v>0</v>
      </c>
      <c r="M11" s="415" t="s">
        <v>99</v>
      </c>
      <c r="N11" s="177"/>
    </row>
    <row r="12" spans="1:25" ht="12" customHeight="1">
      <c r="A12" s="1410" t="s">
        <v>154</v>
      </c>
      <c r="B12" s="1287"/>
      <c r="C12" s="175" t="s">
        <v>100</v>
      </c>
      <c r="D12" s="1413"/>
      <c r="E12" s="1413"/>
      <c r="F12" s="1413"/>
      <c r="G12" s="1413"/>
      <c r="H12" s="1074"/>
      <c r="I12" s="1413"/>
      <c r="J12" s="1104">
        <f t="array" ref="J12">[1]!F010F4000</f>
        <v>0</v>
      </c>
      <c r="K12" s="1104">
        <f t="shared" si="0"/>
        <v>0</v>
      </c>
      <c r="L12" s="1413"/>
      <c r="M12" s="415" t="s">
        <v>100</v>
      </c>
    </row>
    <row r="13" spans="1:25" ht="12" customHeight="1">
      <c r="A13" s="1410" t="s">
        <v>155</v>
      </c>
      <c r="B13" s="1287"/>
      <c r="C13" s="175" t="s">
        <v>102</v>
      </c>
      <c r="D13" s="1413"/>
      <c r="E13" s="1413"/>
      <c r="F13" s="1413"/>
      <c r="G13" s="1413"/>
      <c r="H13" s="1413"/>
      <c r="I13" s="1074"/>
      <c r="J13" s="1104">
        <f t="array" ref="J13">[1]!F010F5000</f>
        <v>0</v>
      </c>
      <c r="K13" s="1104">
        <f>SUM(D13:I13)</f>
        <v>0</v>
      </c>
      <c r="L13" s="1413"/>
      <c r="M13" s="415" t="s">
        <v>102</v>
      </c>
    </row>
    <row r="14" spans="1:25" ht="12" customHeight="1">
      <c r="A14" s="784" t="s">
        <v>927</v>
      </c>
      <c r="B14" s="206"/>
      <c r="C14" s="1435" t="s">
        <v>103</v>
      </c>
      <c r="D14" s="1416">
        <f>SUM(D6:D13)</f>
        <v>203838</v>
      </c>
      <c r="E14" s="1416">
        <f t="shared" ref="E14:K14" si="2">SUM(E6:E13)</f>
        <v>50959</v>
      </c>
      <c r="F14" s="1416">
        <f t="shared" si="2"/>
        <v>0</v>
      </c>
      <c r="G14" s="1416">
        <f t="shared" si="2"/>
        <v>0</v>
      </c>
      <c r="H14" s="1416">
        <f t="shared" si="2"/>
        <v>0</v>
      </c>
      <c r="I14" s="1416">
        <f t="shared" si="2"/>
        <v>0</v>
      </c>
      <c r="J14" s="1416">
        <f t="shared" si="2"/>
        <v>195260</v>
      </c>
      <c r="K14" s="1416">
        <f t="shared" si="2"/>
        <v>254797</v>
      </c>
      <c r="L14" s="1396">
        <f>IF(J14=K14,0,IF(J14&gt;0,(K14-J14)/J14,""))</f>
        <v>0.30499999999999999</v>
      </c>
      <c r="M14" s="415" t="s">
        <v>103</v>
      </c>
      <c r="O14" s="294"/>
      <c r="P14" s="294"/>
      <c r="Q14" s="294"/>
      <c r="R14" s="294"/>
      <c r="S14" s="1299"/>
      <c r="T14" s="1299"/>
      <c r="U14" s="1299"/>
      <c r="V14" s="1299"/>
      <c r="W14" s="1299"/>
      <c r="X14" s="1299"/>
    </row>
    <row r="15" spans="1:25" ht="13.2" customHeight="1">
      <c r="A15" s="784" t="s">
        <v>1344</v>
      </c>
      <c r="B15" s="206"/>
      <c r="C15" s="1435" t="s">
        <v>104</v>
      </c>
      <c r="D15" s="1413"/>
      <c r="E15" s="1413"/>
      <c r="F15" s="1413"/>
      <c r="G15" s="1413"/>
      <c r="H15" s="1413"/>
      <c r="I15" s="1413"/>
      <c r="J15" s="1416" cm="1">
        <f t="array" ref="J15">[1]!F010Carryforward</f>
        <v>81747</v>
      </c>
      <c r="K15" s="1393">
        <v>0</v>
      </c>
      <c r="L15" s="1413"/>
      <c r="M15" s="415" t="s">
        <v>104</v>
      </c>
    </row>
    <row r="16" spans="1:25">
      <c r="A16" s="1415" t="s">
        <v>925</v>
      </c>
      <c r="B16" s="334"/>
      <c r="C16" s="1414" t="s">
        <v>105</v>
      </c>
      <c r="D16" s="1416">
        <f>D14</f>
        <v>203838</v>
      </c>
      <c r="E16" s="1416">
        <f t="shared" ref="E16:I16" si="3">E14</f>
        <v>50959</v>
      </c>
      <c r="F16" s="1416">
        <f t="shared" si="3"/>
        <v>0</v>
      </c>
      <c r="G16" s="1416">
        <f t="shared" si="3"/>
        <v>0</v>
      </c>
      <c r="H16" s="1416">
        <f t="shared" si="3"/>
        <v>0</v>
      </c>
      <c r="I16" s="1416">
        <f t="shared" si="3"/>
        <v>0</v>
      </c>
      <c r="J16" s="1416">
        <f>F010TotalExpPY+J15</f>
        <v>277007</v>
      </c>
      <c r="K16" s="1416">
        <f>F010TotalExp+F010Carryforward</f>
        <v>254797</v>
      </c>
      <c r="L16" s="1396">
        <f>IF(J16=K16,0,IF(J16&gt;0,(K16-J16)/J16,""))</f>
        <v>-0.08</v>
      </c>
      <c r="M16" s="416" t="s">
        <v>105</v>
      </c>
    </row>
    <row r="17" spans="1:22">
      <c r="A17" s="1287"/>
      <c r="B17" s="1287"/>
      <c r="C17" s="1287"/>
      <c r="D17" s="1287"/>
      <c r="E17" s="1287"/>
      <c r="F17" s="1287"/>
      <c r="G17" s="1287"/>
      <c r="H17" s="1287"/>
      <c r="I17" s="1287"/>
      <c r="J17" s="1287"/>
      <c r="K17" s="1287"/>
      <c r="L17" s="1417" t="str">
        <f>IF(ROUND(K16,0)&lt;ROUND(CSFBLBudgFY,0),CONCATENATE("The district has budgeted an amount in Fund 010 which is less than the Classroom Site Fund Budget Limit as calculated below by ",TEXT(CSFBLBudgFY-K16,"$#,###"),"."),IF(ROUND(K16,0)&gt;ROUND(CSFBLBudgFY,0),CONCATENATE("The district has budgeted greater in Fund 010 than the Classroom Site Fund Budget Limit as calculated below by ",TEXT(-CSFBLBudgFY+K16,"$#,###"),"."),IF(ROUND(K16,0)=ROUND(CSFBLBudgFY,0),CONCATENATE("The district has budgeted an amount in Fund 010 equal to the Classroom Site Fund Budget Limit as calculated below."))))</f>
        <v>The district has budgeted an amount in Fund 010 which is less than the Classroom Site Fund Budget Limit as calculated below by $38,413.</v>
      </c>
      <c r="M17" s="1287"/>
    </row>
    <row r="18" spans="1:22" hidden="1">
      <c r="A18" s="1287"/>
      <c r="B18" s="1287"/>
      <c r="C18" s="1287"/>
      <c r="D18" s="1287"/>
      <c r="E18" s="1287"/>
      <c r="F18" s="1287"/>
      <c r="G18" s="1287"/>
      <c r="H18" s="1287"/>
      <c r="I18" s="1287"/>
      <c r="J18" s="1287"/>
      <c r="K18" s="1287"/>
      <c r="L18" s="1287"/>
      <c r="M18" s="1287"/>
    </row>
    <row r="19" spans="1:22" hidden="1">
      <c r="A19" s="1287"/>
      <c r="B19" s="1287"/>
      <c r="C19" s="1287"/>
      <c r="D19" s="1287"/>
      <c r="E19" s="1287"/>
      <c r="F19" s="1287"/>
      <c r="G19" s="1287"/>
      <c r="H19" s="1287"/>
      <c r="I19" s="1287"/>
      <c r="J19" s="1287"/>
      <c r="K19" s="1287"/>
      <c r="L19" s="1287"/>
      <c r="M19" s="1287"/>
    </row>
    <row r="20" spans="1:22" hidden="1">
      <c r="A20" s="1287"/>
      <c r="B20" s="1287"/>
      <c r="C20" s="1287"/>
      <c r="D20" s="1287"/>
      <c r="E20" s="1287"/>
      <c r="F20" s="1287"/>
      <c r="G20" s="1287"/>
      <c r="H20" s="1287"/>
      <c r="I20" s="1287"/>
      <c r="J20" s="1287"/>
      <c r="K20" s="1287"/>
      <c r="L20" s="1287"/>
      <c r="M20" s="1287"/>
    </row>
    <row r="21" spans="1:22" hidden="1">
      <c r="A21" s="1287"/>
      <c r="B21" s="1287"/>
      <c r="C21" s="1287"/>
      <c r="D21" s="1287"/>
      <c r="E21" s="1287"/>
      <c r="F21" s="1287"/>
      <c r="G21" s="1287"/>
      <c r="H21" s="1287"/>
      <c r="I21" s="1287"/>
      <c r="J21" s="1287"/>
      <c r="K21" s="1287"/>
      <c r="L21" s="1287"/>
      <c r="M21" s="1287"/>
    </row>
    <row r="22" spans="1:22" hidden="1">
      <c r="A22" s="1287"/>
      <c r="B22" s="1287"/>
      <c r="C22" s="1287"/>
      <c r="D22" s="1287"/>
      <c r="E22" s="1287"/>
      <c r="F22" s="1287"/>
      <c r="G22" s="1287"/>
      <c r="H22" s="1287"/>
      <c r="I22" s="1287"/>
      <c r="J22" s="1287"/>
      <c r="K22" s="1287"/>
      <c r="L22" s="1287"/>
      <c r="M22" s="1287"/>
    </row>
    <row r="23" spans="1:22" hidden="1">
      <c r="A23" s="1287"/>
      <c r="B23" s="1287"/>
      <c r="C23" s="1287"/>
      <c r="D23" s="1287"/>
      <c r="E23" s="1287"/>
      <c r="F23" s="1287"/>
      <c r="G23" s="1287"/>
      <c r="H23" s="1287"/>
      <c r="I23" s="1287"/>
      <c r="J23" s="1287"/>
      <c r="K23" s="1287"/>
      <c r="L23" s="1287"/>
      <c r="M23" s="1287"/>
    </row>
    <row r="24" spans="1:22" hidden="1">
      <c r="A24" s="1287"/>
      <c r="B24" s="1287"/>
      <c r="C24" s="1287"/>
      <c r="D24" s="1287"/>
      <c r="E24" s="1287"/>
      <c r="F24" s="1287"/>
      <c r="G24" s="1287"/>
      <c r="H24" s="1287"/>
      <c r="I24" s="1287"/>
      <c r="J24" s="1287"/>
      <c r="K24" s="1287"/>
      <c r="L24" s="1287"/>
      <c r="M24" s="1287"/>
    </row>
    <row r="25" spans="1:22" hidden="1">
      <c r="A25" s="1287"/>
      <c r="B25" s="1287"/>
      <c r="C25" s="1287"/>
      <c r="D25" s="1287"/>
      <c r="E25" s="1287"/>
      <c r="F25" s="1287"/>
      <c r="G25" s="1287"/>
      <c r="H25" s="1287"/>
      <c r="I25" s="1287"/>
      <c r="J25" s="1287"/>
      <c r="K25" s="1287"/>
      <c r="L25" s="1287"/>
      <c r="M25" s="1287"/>
    </row>
    <row r="26" spans="1:22" hidden="1">
      <c r="A26" s="1287"/>
      <c r="B26" s="1287"/>
      <c r="C26" s="1287"/>
      <c r="D26" s="1287"/>
      <c r="E26" s="1287"/>
      <c r="F26" s="1287"/>
      <c r="G26" s="1287"/>
      <c r="H26" s="1287"/>
      <c r="I26" s="1287"/>
      <c r="J26" s="1287"/>
      <c r="K26" s="1287"/>
      <c r="L26" s="1287"/>
      <c r="M26" s="1287"/>
    </row>
    <row r="27" spans="1:22" ht="22.5" hidden="1" customHeight="1">
      <c r="A27" s="1287"/>
      <c r="B27" s="1287"/>
      <c r="C27" s="1287"/>
      <c r="D27" s="1287"/>
      <c r="E27" s="1287"/>
      <c r="F27" s="1287"/>
      <c r="G27" s="1287"/>
      <c r="H27" s="1287"/>
      <c r="I27" s="1287"/>
      <c r="J27" s="1287"/>
      <c r="K27" s="1287"/>
      <c r="L27" s="1287"/>
      <c r="M27" s="1287"/>
    </row>
    <row r="28" spans="1:22" ht="19.5" hidden="1" customHeight="1">
      <c r="A28" s="1287"/>
      <c r="B28" s="1287"/>
      <c r="C28" s="1287"/>
      <c r="D28" s="1287"/>
      <c r="E28" s="1287"/>
      <c r="F28" s="1287"/>
      <c r="G28" s="1287"/>
      <c r="H28" s="1287"/>
      <c r="I28" s="1287"/>
      <c r="J28" s="1287"/>
      <c r="K28" s="1287"/>
      <c r="L28" s="1287"/>
      <c r="M28" s="1287"/>
    </row>
    <row r="29" spans="1:22" ht="12.75" hidden="1" customHeight="1">
      <c r="A29" s="1287"/>
      <c r="B29" s="1287"/>
      <c r="C29" s="1287"/>
      <c r="D29" s="1287"/>
      <c r="E29" s="1287"/>
      <c r="F29" s="1287"/>
      <c r="G29" s="1287"/>
      <c r="H29" s="1287"/>
      <c r="I29" s="1287"/>
      <c r="J29" s="1287"/>
      <c r="K29" s="1287"/>
      <c r="L29" s="1287"/>
      <c r="M29" s="1287"/>
    </row>
    <row r="30" spans="1:22" ht="18.75" customHeight="1">
      <c r="A30" s="1287"/>
      <c r="B30" s="1287"/>
      <c r="C30" s="1287"/>
      <c r="D30" s="1287"/>
      <c r="E30" s="1287"/>
      <c r="F30" s="1287"/>
      <c r="G30" s="1287"/>
      <c r="H30" s="1287"/>
      <c r="I30" s="1287"/>
      <c r="J30" s="1287"/>
      <c r="K30" s="1287"/>
      <c r="L30" s="1287"/>
      <c r="M30" s="1287"/>
    </row>
    <row r="31" spans="1:22" s="134" customFormat="1" ht="13.2">
      <c r="A31" s="1616" t="s">
        <v>1070</v>
      </c>
      <c r="B31" s="1616"/>
      <c r="C31" s="1616"/>
      <c r="D31" s="1616"/>
      <c r="E31" s="1287"/>
      <c r="F31" s="96"/>
      <c r="G31" s="1287"/>
      <c r="H31" s="1287"/>
      <c r="I31" s="1287"/>
      <c r="J31" s="1287"/>
      <c r="K31" s="1287"/>
      <c r="L31" s="1287"/>
      <c r="M31" s="1287"/>
      <c r="N31" s="96"/>
      <c r="O31" s="96"/>
      <c r="P31" s="96"/>
      <c r="Q31" s="96"/>
      <c r="R31" s="96"/>
      <c r="S31" s="96"/>
      <c r="T31" s="1617"/>
      <c r="U31" s="1273"/>
      <c r="V31" s="295"/>
    </row>
    <row r="32" spans="1:22" s="134" customFormat="1" ht="25.5" customHeight="1">
      <c r="A32" s="1618" t="s">
        <v>1362</v>
      </c>
      <c r="B32" s="1619"/>
      <c r="C32" s="1437" t="s">
        <v>106</v>
      </c>
      <c r="D32" s="1418" cm="1">
        <f t="array" ref="D32">'[1]Page 3'!CSFBLBudgFY</f>
        <v>277007</v>
      </c>
      <c r="E32" s="1287"/>
      <c r="F32" s="1287"/>
      <c r="G32" s="1287"/>
      <c r="H32" s="1287"/>
      <c r="I32" s="1287"/>
      <c r="J32" s="1287"/>
      <c r="K32" s="1287"/>
      <c r="L32" s="1287"/>
      <c r="M32" s="1287"/>
      <c r="N32" s="96"/>
      <c r="O32" s="1583"/>
      <c r="P32" s="1583"/>
      <c r="Q32" s="1583"/>
      <c r="R32" s="1583"/>
      <c r="S32" s="96"/>
      <c r="T32" s="1617"/>
      <c r="U32" s="1279"/>
      <c r="V32" s="295"/>
    </row>
    <row r="33" spans="1:22" s="134" customFormat="1" ht="36" customHeight="1">
      <c r="A33" s="1620" t="s">
        <v>1363</v>
      </c>
      <c r="B33" s="1621"/>
      <c r="C33" s="1419" t="s">
        <v>107</v>
      </c>
      <c r="D33" s="1429">
        <v>119260</v>
      </c>
      <c r="E33" s="1316" t="str">
        <f>IF(AND(CSFBLCurrFY&lt;&gt;0,CSFActualCurrFY=""),"Please enter prior year CSF actual expenditures on line 11.","")</f>
        <v/>
      </c>
      <c r="F33" s="1287"/>
      <c r="G33" s="1287"/>
      <c r="H33" s="1287"/>
      <c r="I33" s="1287"/>
      <c r="J33" s="1287"/>
      <c r="K33" s="1287"/>
      <c r="L33" s="1287"/>
      <c r="M33" s="1287"/>
      <c r="N33" s="96"/>
      <c r="O33" s="96"/>
      <c r="P33" s="96"/>
      <c r="Q33" s="96"/>
      <c r="R33" s="96"/>
      <c r="S33" s="96"/>
      <c r="T33" s="96"/>
      <c r="U33" s="96"/>
      <c r="V33" s="295"/>
    </row>
    <row r="34" spans="1:22" s="134" customFormat="1" ht="24" customHeight="1">
      <c r="A34" s="1625" t="s">
        <v>994</v>
      </c>
      <c r="B34" s="1549"/>
      <c r="C34" s="1420" t="s">
        <v>108</v>
      </c>
      <c r="D34" s="1421">
        <f>D32-D33</f>
        <v>157747</v>
      </c>
      <c r="E34" s="1287"/>
      <c r="F34" s="1287"/>
      <c r="G34" s="1287"/>
      <c r="H34" s="1287"/>
      <c r="I34" s="1287"/>
      <c r="J34" s="1287"/>
      <c r="K34" s="1287"/>
      <c r="L34" s="1287"/>
      <c r="M34" s="1287"/>
      <c r="N34" s="120"/>
      <c r="O34" s="207"/>
      <c r="P34" s="207"/>
      <c r="Q34" s="207"/>
      <c r="R34" s="96"/>
      <c r="S34" s="96"/>
      <c r="T34" s="1271"/>
      <c r="U34" s="96"/>
      <c r="V34" s="295"/>
    </row>
    <row r="35" spans="1:22" s="134" customFormat="1" ht="22.5" customHeight="1">
      <c r="A35" s="1620" t="s">
        <v>1364</v>
      </c>
      <c r="B35" s="1621"/>
      <c r="C35" s="1419" t="s">
        <v>109</v>
      </c>
      <c r="D35" s="1430"/>
      <c r="E35" s="1287"/>
      <c r="F35" s="1287"/>
      <c r="G35" s="1287"/>
      <c r="H35" s="1287"/>
      <c r="I35" s="1287"/>
      <c r="J35" s="1287"/>
      <c r="K35" s="1287"/>
      <c r="L35" s="1287"/>
      <c r="M35" s="1287"/>
      <c r="N35" s="96"/>
      <c r="O35" s="1583"/>
      <c r="P35" s="1583"/>
      <c r="Q35" s="1583"/>
      <c r="R35" s="1583"/>
      <c r="S35" s="96"/>
      <c r="T35" s="96"/>
      <c r="U35" s="96"/>
      <c r="V35" s="295"/>
    </row>
    <row r="36" spans="1:22" s="297" customFormat="1" ht="18.75" customHeight="1">
      <c r="A36" s="1422" t="s">
        <v>1360</v>
      </c>
      <c r="B36" s="1509">
        <f>CSFAllocation</f>
        <v>883</v>
      </c>
      <c r="C36" s="1419" t="s">
        <v>110</v>
      </c>
      <c r="D36" s="1430">
        <f>883*153.41259705</f>
        <v>135463</v>
      </c>
      <c r="E36" s="1316"/>
      <c r="F36" s="1287"/>
      <c r="G36" s="1287"/>
      <c r="H36" s="1287"/>
      <c r="I36" s="1423"/>
      <c r="J36" s="1423"/>
      <c r="K36" s="1287"/>
      <c r="L36" s="1287"/>
      <c r="M36" s="1423"/>
      <c r="N36" s="298"/>
      <c r="O36" s="1626"/>
      <c r="P36" s="1626"/>
      <c r="Q36" s="1626"/>
      <c r="R36" s="1626"/>
      <c r="S36" s="298"/>
      <c r="T36" s="299"/>
      <c r="U36" s="300"/>
      <c r="V36" s="301"/>
    </row>
    <row r="37" spans="1:22" s="134" customFormat="1" ht="22.5" customHeight="1">
      <c r="A37" s="1620" t="s">
        <v>1365</v>
      </c>
      <c r="B37" s="1621"/>
      <c r="C37" s="1419" t="s">
        <v>111</v>
      </c>
      <c r="D37" s="1430"/>
      <c r="E37" s="1287"/>
      <c r="F37" s="1287"/>
      <c r="G37" s="1287"/>
      <c r="H37" s="1287"/>
      <c r="I37" s="1287"/>
      <c r="J37" s="1287"/>
      <c r="K37" s="1287"/>
      <c r="L37" s="1287"/>
      <c r="M37" s="1287"/>
      <c r="N37" s="120"/>
      <c r="O37" s="1"/>
      <c r="P37" s="96"/>
      <c r="Q37" s="96"/>
      <c r="R37" s="96"/>
      <c r="S37" s="96"/>
      <c r="T37" s="1271"/>
      <c r="U37" s="1279"/>
      <c r="V37" s="295"/>
    </row>
    <row r="38" spans="1:22" s="134" customFormat="1" ht="9.75" customHeight="1">
      <c r="A38" s="1424"/>
      <c r="B38" s="206"/>
      <c r="C38" s="206"/>
      <c r="D38" s="1425"/>
      <c r="E38" s="1287"/>
      <c r="F38" s="1287"/>
      <c r="G38" s="1287"/>
      <c r="H38" s="1287"/>
      <c r="I38" s="1287"/>
      <c r="J38" s="1287"/>
      <c r="K38" s="1287"/>
      <c r="L38" s="1287"/>
      <c r="M38" s="1287"/>
      <c r="N38" s="120"/>
      <c r="O38" s="96"/>
      <c r="P38" s="1583"/>
      <c r="Q38" s="1583"/>
      <c r="R38" s="1583"/>
      <c r="S38" s="96"/>
      <c r="T38" s="1271"/>
      <c r="U38" s="1279"/>
      <c r="V38" s="295"/>
    </row>
    <row r="39" spans="1:22" s="134" customFormat="1" ht="23.25" customHeight="1" thickBot="1">
      <c r="A39" s="1622" t="s">
        <v>1366</v>
      </c>
      <c r="B39" s="1623"/>
      <c r="C39" s="1426" t="s">
        <v>112</v>
      </c>
      <c r="D39" s="1431">
        <f>SUM(D34:D37)</f>
        <v>293210</v>
      </c>
      <c r="E39" s="1287"/>
      <c r="F39" s="1287"/>
      <c r="G39" s="1287"/>
      <c r="H39" s="1287"/>
      <c r="I39" s="1287"/>
      <c r="J39" s="1287"/>
      <c r="K39" s="1287"/>
      <c r="L39" s="1287"/>
      <c r="M39" s="1287"/>
      <c r="N39" s="116"/>
      <c r="P39" s="116"/>
      <c r="Q39" s="116"/>
      <c r="R39" s="96"/>
      <c r="S39" s="96"/>
      <c r="T39" s="1271"/>
      <c r="U39" s="1279"/>
      <c r="V39" s="295"/>
    </row>
    <row r="40" spans="1:22" s="134" customFormat="1" ht="8.25" customHeight="1" thickTop="1">
      <c r="A40" s="96"/>
      <c r="B40" s="1287"/>
      <c r="C40" s="1287"/>
      <c r="D40" s="1287"/>
      <c r="E40" s="1287"/>
      <c r="F40" s="1287"/>
      <c r="G40" s="1287"/>
      <c r="H40" s="1287"/>
      <c r="I40" s="1287"/>
      <c r="J40" s="1287"/>
      <c r="K40" s="1279"/>
      <c r="L40" s="1287"/>
      <c r="M40" s="1287"/>
      <c r="N40" s="207"/>
      <c r="O40" s="96"/>
      <c r="P40" s="96"/>
      <c r="Q40" s="96"/>
      <c r="R40" s="1271"/>
      <c r="S40" s="1279"/>
      <c r="T40" s="1624"/>
      <c r="U40" s="1624"/>
      <c r="V40" s="303"/>
    </row>
    <row r="41" spans="1:22" s="134" customFormat="1" ht="13.2">
      <c r="A41" s="812" t="s">
        <v>156</v>
      </c>
      <c r="B41" s="1287"/>
      <c r="C41" s="119"/>
      <c r="D41" s="1287"/>
      <c r="E41" s="1287"/>
      <c r="F41" s="1287"/>
      <c r="G41" s="1287"/>
      <c r="H41" s="1287"/>
      <c r="I41" s="1287"/>
      <c r="J41" s="1287"/>
      <c r="K41" s="1287"/>
      <c r="L41" s="1287"/>
      <c r="M41" s="1287"/>
      <c r="N41" s="96"/>
      <c r="O41" s="304"/>
      <c r="P41" s="304"/>
      <c r="Q41" s="304"/>
      <c r="R41" s="96"/>
      <c r="S41" s="96"/>
      <c r="T41" s="96"/>
      <c r="U41" s="96"/>
      <c r="V41" s="303"/>
    </row>
    <row r="42" spans="1:22" s="134" customFormat="1" ht="13.2">
      <c r="A42" s="207" t="s">
        <v>941</v>
      </c>
      <c r="N42" s="96"/>
      <c r="O42" s="96"/>
      <c r="P42" s="96"/>
      <c r="Q42" s="96"/>
      <c r="R42" s="96"/>
      <c r="S42" s="96"/>
      <c r="T42" s="96"/>
      <c r="U42" s="96"/>
      <c r="V42" s="303"/>
    </row>
    <row r="43" spans="1:22" s="134" customFormat="1" ht="15.6">
      <c r="A43" s="306"/>
      <c r="B43" s="1297"/>
      <c r="C43" s="1297"/>
      <c r="D43" s="1297"/>
      <c r="E43" s="1297"/>
      <c r="F43" s="1297"/>
      <c r="G43" s="1297"/>
      <c r="H43" s="1297"/>
      <c r="I43" s="1297"/>
      <c r="J43" s="1297"/>
      <c r="K43" s="1297"/>
      <c r="L43" s="1297"/>
    </row>
  </sheetData>
  <sheetProtection sheet="1" formatCells="0" formatColumns="0" formatRows="0"/>
  <mergeCells count="16">
    <mergeCell ref="A37:B37"/>
    <mergeCell ref="P38:R38"/>
    <mergeCell ref="A39:B39"/>
    <mergeCell ref="T40:U40"/>
    <mergeCell ref="A33:B33"/>
    <mergeCell ref="A34:B34"/>
    <mergeCell ref="A35:B35"/>
    <mergeCell ref="O35:R35"/>
    <mergeCell ref="O36:R36"/>
    <mergeCell ref="B1:E1"/>
    <mergeCell ref="D2:L2"/>
    <mergeCell ref="J3:K3"/>
    <mergeCell ref="A31:D31"/>
    <mergeCell ref="T31:T32"/>
    <mergeCell ref="A32:B32"/>
    <mergeCell ref="O32:R32"/>
  </mergeCells>
  <conditionalFormatting sqref="K15">
    <cfRule type="containsBlanks" dxfId="29" priority="1">
      <formula>LEN(TRIM(K15))=0</formula>
    </cfRule>
  </conditionalFormatting>
  <conditionalFormatting sqref="L17">
    <cfRule type="expression" dxfId="28" priority="2">
      <formula>ROUND(F010TotalExp,0)&gt;ROUND(CSFBLBudgFY,0)</formula>
    </cfRule>
  </conditionalFormatting>
  <dataValidations disablePrompts="1" count="2">
    <dataValidation type="whole" operator="lessThanOrEqual" allowBlank="1" showInputMessage="1" showErrorMessage="1" promptTitle="Reductions/Decreases" prompt="Enter reductions/decreases as negative amounts." sqref="U31" xr:uid="{00000000-0002-0000-0400-000000000000}">
      <formula1>0</formula1>
    </dataValidation>
    <dataValidation type="whole" operator="lessThanOrEqual" allowBlank="1" showInputMessage="1" showErrorMessage="1" prompt="This amount must be negative." sqref="U32 U37" xr:uid="{00000000-0002-0000-0400-000001000000}">
      <formula1>0</formula1>
    </dataValidation>
  </dataValidations>
  <hyperlinks>
    <hyperlink ref="C16" location="Page3Line9" display="9." xr:uid="{00000000-0004-0000-0400-000000000000}"/>
    <hyperlink ref="C33" location="Page3Line12" display="12." xr:uid="{00000000-0004-0000-0400-000001000000}"/>
    <hyperlink ref="C35" location="Page3Line14" display="14." xr:uid="{00000000-0004-0000-0400-000002000000}"/>
    <hyperlink ref="C37" location="Page3Line16" display="16." xr:uid="{00000000-0004-0000-0400-000003000000}"/>
    <hyperlink ref="C9" location="Page3Line4" display="4." xr:uid="{00000000-0004-0000-0400-000004000000}"/>
    <hyperlink ref="C36" location="Page3Line15" display="15." xr:uid="{00000000-0004-0000-0400-000005000000}"/>
    <hyperlink ref="C15" location="PlannedCarryforward" display="9." xr:uid="{00000000-0004-0000-0400-000006000000}"/>
    <hyperlink ref="C14" location="Page3l9" display="9." xr:uid="{00000000-0004-0000-0400-000007000000}"/>
    <hyperlink ref="A3" location="Page3Gen" display="Instructions" xr:uid="{00000000-0004-0000-0400-000008000000}"/>
  </hyperlinks>
  <printOptions horizontalCentered="1"/>
  <pageMargins left="0.25" right="0.25" top="0.25" bottom="0.25" header="0" footer="0.15"/>
  <pageSetup paperSize="5" scale="86" orientation="landscape" r:id="rId1"/>
  <headerFooter alignWithMargins="0">
    <oddFooter>&amp;L&amp;"Times New Roman,Bold"&amp;9Rev. 5/26&amp;K000000 Arizona Department of Education and Auditor General&amp;C&amp;"Times New Roman,Regular"&amp;9&amp;D  &amp;T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1:P43"/>
  <sheetViews>
    <sheetView showGridLines="0" topLeftCell="A5" zoomScaleNormal="100" zoomScaleSheetLayoutView="100" workbookViewId="0">
      <selection activeCell="E8" sqref="E8:E12"/>
    </sheetView>
  </sheetViews>
  <sheetFormatPr defaultColWidth="8.81640625" defaultRowHeight="15"/>
  <cols>
    <col min="1" max="1" width="25.81640625" customWidth="1"/>
    <col min="2" max="2" width="12" customWidth="1"/>
    <col min="3" max="3" width="3" customWidth="1"/>
    <col min="4" max="9" width="10.81640625" customWidth="1"/>
    <col min="10" max="11" width="12.81640625" customWidth="1"/>
    <col min="12" max="14" width="10.81640625" customWidth="1"/>
    <col min="15" max="15" width="3.453125" style="290" customWidth="1"/>
    <col min="16" max="16" width="3" customWidth="1"/>
    <col min="17" max="18" width="8.81640625" customWidth="1"/>
  </cols>
  <sheetData>
    <row r="1" spans="1:16">
      <c r="A1" s="1270" t="s">
        <v>56</v>
      </c>
      <c r="B1" s="1596" t="str">
        <f>DistrictName</f>
        <v>Pomerene Elementary School District</v>
      </c>
      <c r="C1" s="1612"/>
      <c r="D1" s="1612"/>
      <c r="E1" s="1612"/>
      <c r="F1" s="307"/>
      <c r="G1" s="1270" t="s">
        <v>1</v>
      </c>
      <c r="H1" s="272" t="str">
        <f>Cover!H1</f>
        <v>Cochise</v>
      </c>
      <c r="K1" s="227" t="s">
        <v>57</v>
      </c>
      <c r="L1" s="98" t="str">
        <f>Cover!S1</f>
        <v>020364000</v>
      </c>
      <c r="M1" s="1270" t="s">
        <v>16</v>
      </c>
      <c r="N1" s="308" t="str">
        <f>Cover!C8</f>
        <v>Proposed</v>
      </c>
      <c r="O1" s="148"/>
      <c r="P1" s="148"/>
    </row>
    <row r="2" spans="1:16">
      <c r="A2" s="1305"/>
      <c r="B2" s="138"/>
      <c r="C2" s="138"/>
      <c r="D2" s="138"/>
      <c r="E2" s="138"/>
      <c r="F2" s="138"/>
      <c r="G2" s="138"/>
      <c r="H2" s="1305"/>
      <c r="I2" s="138"/>
      <c r="J2" s="138"/>
      <c r="K2" s="138"/>
      <c r="L2" s="138"/>
      <c r="M2" s="1305"/>
      <c r="N2" s="138"/>
      <c r="O2" s="1291"/>
      <c r="P2" s="138"/>
    </row>
    <row r="3" spans="1:16" ht="15.6">
      <c r="A3" s="309" t="s">
        <v>157</v>
      </c>
      <c r="B3" s="310"/>
      <c r="C3" s="97"/>
      <c r="D3" s="1638" t="s">
        <v>158</v>
      </c>
      <c r="E3" s="1638"/>
      <c r="F3" s="1638"/>
      <c r="G3" s="1638"/>
      <c r="H3" s="1638"/>
      <c r="I3" s="1638"/>
      <c r="J3" s="1638"/>
      <c r="K3" s="1638"/>
      <c r="L3" s="1638"/>
      <c r="M3" s="1638"/>
      <c r="N3" s="157"/>
      <c r="O3" s="158"/>
      <c r="P3" s="97"/>
    </row>
    <row r="4" spans="1:16" ht="24.6">
      <c r="A4" s="1477" t="s">
        <v>691</v>
      </c>
      <c r="B4" s="99"/>
      <c r="C4" s="99"/>
      <c r="D4" s="1629" t="s">
        <v>159</v>
      </c>
      <c r="E4" s="1125" t="s">
        <v>160</v>
      </c>
      <c r="F4" s="1631" t="s">
        <v>161</v>
      </c>
      <c r="G4" s="1631" t="s">
        <v>162</v>
      </c>
      <c r="H4" s="1631" t="s">
        <v>163</v>
      </c>
      <c r="I4" s="1631" t="s">
        <v>164</v>
      </c>
      <c r="J4" s="311"/>
      <c r="K4" s="312" t="s">
        <v>79</v>
      </c>
      <c r="L4" s="313"/>
      <c r="M4" s="314"/>
      <c r="N4" s="158"/>
      <c r="O4"/>
    </row>
    <row r="5" spans="1:16" ht="12" customHeight="1">
      <c r="A5" s="101"/>
      <c r="B5" s="96"/>
      <c r="C5" s="96"/>
      <c r="D5" s="1630"/>
      <c r="E5" s="1126" t="s">
        <v>165</v>
      </c>
      <c r="F5" s="1633"/>
      <c r="G5" s="1632"/>
      <c r="H5" s="1633"/>
      <c r="I5" s="1633"/>
      <c r="J5" s="1127" t="s">
        <v>166</v>
      </c>
      <c r="K5" s="4" t="s">
        <v>84</v>
      </c>
      <c r="L5" s="161" t="s">
        <v>85</v>
      </c>
      <c r="M5" s="161" t="s">
        <v>86</v>
      </c>
      <c r="N5" s="158"/>
      <c r="O5"/>
    </row>
    <row r="6" spans="1:16" ht="12" customHeight="1">
      <c r="A6" s="1300" t="s">
        <v>87</v>
      </c>
      <c r="C6" s="96"/>
      <c r="D6" s="1630"/>
      <c r="E6" s="1126" t="s">
        <v>167</v>
      </c>
      <c r="F6" s="1633"/>
      <c r="G6" s="1632"/>
      <c r="H6" s="1633"/>
      <c r="I6" s="1633"/>
      <c r="J6" s="1127" t="s">
        <v>168</v>
      </c>
      <c r="K6" s="4" t="s">
        <v>3</v>
      </c>
      <c r="L6" s="161" t="s">
        <v>3</v>
      </c>
      <c r="M6" s="161" t="s">
        <v>89</v>
      </c>
      <c r="N6" s="158"/>
      <c r="O6"/>
    </row>
    <row r="7" spans="1:16" ht="24.6">
      <c r="A7" s="167"/>
      <c r="B7" s="168"/>
      <c r="C7" s="169"/>
      <c r="D7" s="170">
        <v>6440</v>
      </c>
      <c r="E7" s="170" t="s">
        <v>169</v>
      </c>
      <c r="F7" s="4">
        <v>6655</v>
      </c>
      <c r="G7" s="170">
        <v>6700</v>
      </c>
      <c r="H7" s="170" t="s">
        <v>170</v>
      </c>
      <c r="I7" s="315" t="s">
        <v>171</v>
      </c>
      <c r="J7" s="316" t="s">
        <v>172</v>
      </c>
      <c r="K7" s="171">
        <f>PriorFiscalYear</f>
        <v>2026</v>
      </c>
      <c r="L7" s="161">
        <f>Cover!E3</f>
        <v>2027</v>
      </c>
      <c r="M7" s="170" t="s">
        <v>94</v>
      </c>
      <c r="N7" s="158"/>
      <c r="O7"/>
    </row>
    <row r="8" spans="1:16" ht="13.5" customHeight="1">
      <c r="A8" s="317" t="s">
        <v>1071</v>
      </c>
      <c r="B8" s="318"/>
      <c r="C8" s="319" t="s">
        <v>6</v>
      </c>
      <c r="D8" s="5"/>
      <c r="E8" s="5"/>
      <c r="F8" s="5"/>
      <c r="G8" s="5"/>
      <c r="H8" s="5"/>
      <c r="I8" s="5"/>
      <c r="J8" s="5"/>
      <c r="K8" s="1096">
        <f>[1]!F610Override</f>
        <v>0</v>
      </c>
      <c r="L8" s="1104">
        <f>SUM(D8:J8)</f>
        <v>0</v>
      </c>
      <c r="M8" s="1099">
        <f>IF(K8=L8,0,IF(K8&gt;0,(L8-K8)/K8,""))</f>
        <v>0</v>
      </c>
      <c r="N8" s="322" t="s">
        <v>6</v>
      </c>
      <c r="O8"/>
    </row>
    <row r="9" spans="1:16" ht="12" customHeight="1">
      <c r="A9" s="323" t="s">
        <v>173</v>
      </c>
      <c r="B9" s="1301"/>
      <c r="C9" s="324"/>
      <c r="D9" s="325"/>
      <c r="E9" s="325"/>
      <c r="F9" s="1092"/>
      <c r="G9" s="326"/>
      <c r="H9" s="1092"/>
      <c r="I9" s="1093"/>
      <c r="J9" s="1096"/>
      <c r="K9" s="1103"/>
      <c r="L9" s="1103"/>
      <c r="M9" s="1103"/>
      <c r="N9" s="1324"/>
      <c r="O9"/>
    </row>
    <row r="10" spans="1:16" ht="12" customHeight="1">
      <c r="A10" s="101" t="s">
        <v>174</v>
      </c>
      <c r="B10" s="96"/>
      <c r="C10" s="328" t="s">
        <v>8</v>
      </c>
      <c r="D10" s="37"/>
      <c r="E10" s="37">
        <v>32000</v>
      </c>
      <c r="F10" s="1094"/>
      <c r="G10" s="38"/>
      <c r="H10" s="1094"/>
      <c r="I10" s="1095"/>
      <c r="J10" s="1097"/>
      <c r="K10" s="1169">
        <f>[1]!F610F1000</f>
        <v>31289</v>
      </c>
      <c r="L10" s="1169">
        <f>SUM(D10:J10)</f>
        <v>32000</v>
      </c>
      <c r="M10" s="1170">
        <f>IF(K10=L10,0,IF(K10&gt;0,(L10-K10)/K10,""))</f>
        <v>2.3E-2</v>
      </c>
      <c r="N10" s="1098" t="s">
        <v>8</v>
      </c>
      <c r="O10"/>
    </row>
    <row r="11" spans="1:16" ht="12" customHeight="1">
      <c r="A11" s="101" t="s">
        <v>995</v>
      </c>
      <c r="B11" s="96"/>
      <c r="D11" s="325"/>
      <c r="E11" s="325"/>
      <c r="F11" s="329"/>
      <c r="G11" s="330"/>
      <c r="H11" s="1092"/>
      <c r="I11" s="1093"/>
      <c r="J11" s="1096"/>
      <c r="K11" s="1103"/>
      <c r="L11" s="1103"/>
      <c r="M11" s="1103"/>
      <c r="N11" s="307"/>
      <c r="O11"/>
    </row>
    <row r="12" spans="1:16" ht="12" customHeight="1">
      <c r="A12" s="101" t="s">
        <v>996</v>
      </c>
      <c r="B12" s="96"/>
      <c r="C12" s="328" t="s">
        <v>22</v>
      </c>
      <c r="D12" s="12"/>
      <c r="E12" s="12">
        <v>25000</v>
      </c>
      <c r="F12" s="87"/>
      <c r="G12" s="39"/>
      <c r="H12" s="1094"/>
      <c r="I12" s="1095"/>
      <c r="J12" s="1097"/>
      <c r="K12" s="1169">
        <f>[1]!F610F21002200</f>
        <v>20500</v>
      </c>
      <c r="L12" s="1169">
        <f>SUM(D12:J12)</f>
        <v>25000</v>
      </c>
      <c r="M12" s="1170">
        <f>IF(K12=L12,0,IF(K12&gt;0,(L12-K12)/K12,""))</f>
        <v>0.22</v>
      </c>
      <c r="N12" s="1098" t="s">
        <v>22</v>
      </c>
      <c r="O12"/>
    </row>
    <row r="13" spans="1:16" ht="12" customHeight="1">
      <c r="A13" s="101" t="s">
        <v>175</v>
      </c>
      <c r="B13" s="96"/>
      <c r="C13" s="328" t="s">
        <v>40</v>
      </c>
      <c r="D13" s="5"/>
      <c r="E13" s="332"/>
      <c r="F13" s="87"/>
      <c r="G13" s="5"/>
      <c r="H13" s="332"/>
      <c r="I13" s="5"/>
      <c r="J13" s="5"/>
      <c r="K13" s="1100">
        <f>[1]!F610F2300240025002900</f>
        <v>0</v>
      </c>
      <c r="L13" s="1101">
        <f t="shared" ref="L13:L18" si="0">SUM(D13:J13)</f>
        <v>0</v>
      </c>
      <c r="M13" s="1102">
        <f t="shared" ref="M13:M18" si="1">IF(K13=L13,0,IF(K13&gt;0,(L13-K13)/K13,""))</f>
        <v>0</v>
      </c>
      <c r="N13" s="322" t="s">
        <v>40</v>
      </c>
      <c r="O13"/>
    </row>
    <row r="14" spans="1:16" ht="12" customHeight="1">
      <c r="A14" s="101" t="s">
        <v>997</v>
      </c>
      <c r="B14" s="96"/>
      <c r="C14" s="328" t="s">
        <v>98</v>
      </c>
      <c r="D14" s="5"/>
      <c r="E14" s="332"/>
      <c r="F14" s="87">
        <v>5000</v>
      </c>
      <c r="G14" s="5"/>
      <c r="H14" s="332"/>
      <c r="I14" s="332"/>
      <c r="J14" s="5"/>
      <c r="K14" s="320">
        <f>[1]!F610F2600</f>
        <v>2500</v>
      </c>
      <c r="L14" s="321">
        <f t="shared" si="0"/>
        <v>5000</v>
      </c>
      <c r="M14" s="193">
        <f t="shared" si="1"/>
        <v>1</v>
      </c>
      <c r="N14" s="322" t="s">
        <v>98</v>
      </c>
      <c r="O14"/>
    </row>
    <row r="15" spans="1:16" ht="12" customHeight="1">
      <c r="A15" s="101" t="s">
        <v>998</v>
      </c>
      <c r="B15" s="96"/>
      <c r="C15" s="328" t="s">
        <v>99</v>
      </c>
      <c r="D15" s="5"/>
      <c r="E15" s="332"/>
      <c r="F15" s="87">
        <v>0</v>
      </c>
      <c r="G15" s="5"/>
      <c r="H15" s="332"/>
      <c r="I15" s="332"/>
      <c r="J15" s="5"/>
      <c r="K15" s="333">
        <f>[1]!F610F2700</f>
        <v>0</v>
      </c>
      <c r="L15" s="321">
        <f t="shared" si="0"/>
        <v>0</v>
      </c>
      <c r="M15" s="193">
        <f t="shared" si="1"/>
        <v>0</v>
      </c>
      <c r="N15" s="322" t="s">
        <v>99</v>
      </c>
      <c r="O15"/>
    </row>
    <row r="16" spans="1:16" ht="12" customHeight="1">
      <c r="A16" s="101" t="s">
        <v>999</v>
      </c>
      <c r="B16" s="96"/>
      <c r="C16" s="328" t="s">
        <v>100</v>
      </c>
      <c r="D16" s="5"/>
      <c r="E16" s="332"/>
      <c r="F16" s="1538"/>
      <c r="G16" s="87">
        <v>2000</v>
      </c>
      <c r="H16" s="332"/>
      <c r="I16" s="332"/>
      <c r="J16" s="5"/>
      <c r="K16" s="333">
        <f>[1]!F610F3000</f>
        <v>1689</v>
      </c>
      <c r="L16" s="321">
        <f t="shared" si="0"/>
        <v>2000</v>
      </c>
      <c r="M16" s="193">
        <f t="shared" si="1"/>
        <v>0.184</v>
      </c>
      <c r="N16" s="322" t="s">
        <v>100</v>
      </c>
      <c r="O16"/>
    </row>
    <row r="17" spans="1:16" ht="12" customHeight="1">
      <c r="A17" s="101" t="s">
        <v>1000</v>
      </c>
      <c r="B17" s="96"/>
      <c r="C17" s="328" t="s">
        <v>102</v>
      </c>
      <c r="D17" s="5"/>
      <c r="E17" s="332"/>
      <c r="F17" s="87"/>
      <c r="G17" s="5">
        <v>7500</v>
      </c>
      <c r="H17" s="332"/>
      <c r="I17" s="332"/>
      <c r="J17" s="5"/>
      <c r="K17" s="333">
        <f>[1]!F610F4000</f>
        <v>7500</v>
      </c>
      <c r="L17" s="321">
        <f t="shared" si="0"/>
        <v>7500</v>
      </c>
      <c r="M17" s="193">
        <f t="shared" si="1"/>
        <v>0</v>
      </c>
      <c r="N17" s="322" t="s">
        <v>102</v>
      </c>
      <c r="O17"/>
    </row>
    <row r="18" spans="1:16" ht="12" customHeight="1">
      <c r="A18" s="101" t="s">
        <v>1001</v>
      </c>
      <c r="B18" s="206"/>
      <c r="C18" s="182" t="s">
        <v>103</v>
      </c>
      <c r="D18" s="1331"/>
      <c r="E18" s="1331"/>
      <c r="F18" s="1331"/>
      <c r="G18" s="1331"/>
      <c r="H18" s="1332"/>
      <c r="I18" s="1332"/>
      <c r="J18" s="1331"/>
      <c r="K18" s="1333">
        <f>[1]!F610F5000</f>
        <v>0</v>
      </c>
      <c r="L18" s="321">
        <f t="shared" si="0"/>
        <v>0</v>
      </c>
      <c r="M18" s="193">
        <f t="shared" si="1"/>
        <v>0</v>
      </c>
      <c r="N18" s="322" t="s">
        <v>103</v>
      </c>
      <c r="O18"/>
    </row>
    <row r="19" spans="1:16" ht="12" customHeight="1">
      <c r="A19" s="101" t="s">
        <v>928</v>
      </c>
      <c r="B19" s="206"/>
      <c r="C19" s="1444" t="s">
        <v>104</v>
      </c>
      <c r="D19" s="1104">
        <f>D10+SUM(D12:D18)</f>
        <v>0</v>
      </c>
      <c r="E19" s="1104">
        <f t="shared" ref="E19:L19" si="2">E10+SUM(E12:E18)</f>
        <v>57000</v>
      </c>
      <c r="F19" s="1104">
        <f t="shared" si="2"/>
        <v>5000</v>
      </c>
      <c r="G19" s="1104">
        <f t="shared" si="2"/>
        <v>9500</v>
      </c>
      <c r="H19" s="1104">
        <f t="shared" si="2"/>
        <v>0</v>
      </c>
      <c r="I19" s="1104">
        <f t="shared" si="2"/>
        <v>0</v>
      </c>
      <c r="J19" s="1104">
        <f t="shared" si="2"/>
        <v>0</v>
      </c>
      <c r="K19" s="1104">
        <f t="shared" si="2"/>
        <v>63478</v>
      </c>
      <c r="L19" s="1104">
        <f t="shared" si="2"/>
        <v>71500</v>
      </c>
      <c r="M19" s="1334">
        <f>IF(K19=L19,0,IF(K19&gt;0,(L19-K19)/K19,""))</f>
        <v>0.126</v>
      </c>
      <c r="N19" s="322" t="s">
        <v>104</v>
      </c>
      <c r="O19"/>
    </row>
    <row r="20" spans="1:16" ht="12" customHeight="1">
      <c r="A20" s="101" t="s">
        <v>1344</v>
      </c>
      <c r="B20" s="206"/>
      <c r="C20" s="1443" t="s">
        <v>105</v>
      </c>
      <c r="D20" s="1331"/>
      <c r="E20" s="1331"/>
      <c r="F20" s="1331"/>
      <c r="G20" s="1331"/>
      <c r="H20" s="1331"/>
      <c r="I20" s="1331"/>
      <c r="J20" s="1331"/>
      <c r="K20" s="1104">
        <f>[1]!F610Carryforward</f>
        <v>158179</v>
      </c>
      <c r="L20" s="1451">
        <v>143848</v>
      </c>
      <c r="M20" s="1331"/>
      <c r="N20" s="322" t="s">
        <v>105</v>
      </c>
      <c r="O20"/>
    </row>
    <row r="21" spans="1:16" ht="24" customHeight="1">
      <c r="A21" s="1628" t="s">
        <v>926</v>
      </c>
      <c r="B21" s="1623"/>
      <c r="C21" s="1453" t="s">
        <v>106</v>
      </c>
      <c r="D21" s="1436">
        <f>D19</f>
        <v>0</v>
      </c>
      <c r="E21" s="1436">
        <f t="shared" ref="E21:J21" si="3">E19</f>
        <v>57000</v>
      </c>
      <c r="F21" s="1436">
        <f t="shared" si="3"/>
        <v>5000</v>
      </c>
      <c r="G21" s="1436">
        <f t="shared" si="3"/>
        <v>9500</v>
      </c>
      <c r="H21" s="1436">
        <f t="shared" si="3"/>
        <v>0</v>
      </c>
      <c r="I21" s="1436">
        <f t="shared" si="3"/>
        <v>0</v>
      </c>
      <c r="J21" s="1436">
        <f t="shared" si="3"/>
        <v>0</v>
      </c>
      <c r="K21" s="1436">
        <f>K19+K20</f>
        <v>221657</v>
      </c>
      <c r="L21" s="1436">
        <f>F610TotalBudgFY+F610Carryforward</f>
        <v>215348</v>
      </c>
      <c r="M21" s="1334">
        <f>IF(K21=L21,0,IF(K21&gt;0,(L21-K21)/K21,""))</f>
        <v>-2.8000000000000001E-2</v>
      </c>
      <c r="N21" s="322" t="s">
        <v>106</v>
      </c>
    </row>
    <row r="22" spans="1:16" ht="24.6" customHeight="1">
      <c r="A22" s="96"/>
      <c r="B22" s="96"/>
      <c r="C22" s="335"/>
      <c r="D22" s="1279"/>
      <c r="F22" s="1639" t="str">
        <f>IF(ROUND('Page 8'!K30,0)&lt;0,"The district may not budget amounts on this page as it has no spending authority in its Unrestricted Capital Outlay Fund as calculated on Page 8 of 8.",IF(ROUND('Page 4'!L21,0)&lt;ROUND('Page 8'!K30,0),CONCATENATE("The district has budgeted an amount in the UCO Fund which is less than the Unrestricted Capital Budget Limit as calculated on Page 8 of 8 by ",TEXT('Page 8'!K30-'Page 4'!L21,"$#,###"),"."),IF(ROUND('Page 4'!L21,0)&gt;ROUND('Page 8'!K30,0),CONCATENATE("The district has budgeted greater in the UCO Fund than the Unrestricted Capital Budget Limit as calculated on Page 8 of 8 by ",TEXT(-'Page 8'!K30+'Page 4'!L21,"$#,###"),"."),IF(ROUND('Page 4'!L21,0)=ROUND('Page 8'!K30,0),CONCATENATE("The district has budgeted an amount in the UCO Fund equal to the Unrestricted Capital Budget Limit as calculated on Page 8 of 8.")))))</f>
        <v>The district has budgeted an amount in the UCO Fund equal to the Unrestricted Capital Budget Limit as calculated on Page 8 of 8.</v>
      </c>
      <c r="G22" s="1639"/>
      <c r="H22" s="1639"/>
      <c r="I22" s="1639"/>
      <c r="J22" s="1639"/>
      <c r="K22" s="1639"/>
      <c r="L22" s="1639"/>
      <c r="M22" s="1639"/>
      <c r="N22" s="1308"/>
      <c r="O22" s="1308"/>
      <c r="P22" s="1308"/>
    </row>
    <row r="23" spans="1:16" ht="12" customHeight="1">
      <c r="O23" s="184"/>
      <c r="P23" s="328"/>
    </row>
    <row r="24" spans="1:16" ht="11.25" customHeight="1">
      <c r="A24" s="1636" t="s">
        <v>1002</v>
      </c>
      <c r="B24" s="1637"/>
      <c r="C24" s="1637"/>
      <c r="D24" s="1637"/>
      <c r="E24" s="180" t="s">
        <v>176</v>
      </c>
      <c r="F24" s="119" t="s">
        <v>177</v>
      </c>
      <c r="G24" s="119"/>
      <c r="H24" s="119"/>
      <c r="I24" s="119"/>
      <c r="J24" s="119"/>
      <c r="K24" s="1299"/>
      <c r="L24" s="1352"/>
    </row>
    <row r="25" spans="1:16" ht="11.25" customHeight="1">
      <c r="A25" s="1637"/>
      <c r="B25" s="1637"/>
      <c r="C25" s="1637"/>
      <c r="D25" s="1637"/>
      <c r="G25" s="1297"/>
      <c r="H25" s="1297"/>
      <c r="I25" s="1297"/>
      <c r="J25" s="1297"/>
      <c r="K25" s="1297"/>
      <c r="L25" s="4"/>
    </row>
    <row r="26" spans="1:16" ht="12.75" customHeight="1">
      <c r="A26" s="1637"/>
      <c r="B26" s="1637"/>
      <c r="C26" s="1637"/>
      <c r="D26" s="1637"/>
      <c r="F26" s="96" t="s">
        <v>178</v>
      </c>
      <c r="G26" s="96"/>
      <c r="H26" s="96"/>
      <c r="I26" s="96"/>
      <c r="J26" s="96"/>
      <c r="L26" s="96"/>
      <c r="M26" s="96"/>
      <c r="N26" s="96"/>
    </row>
    <row r="27" spans="1:16" ht="12" customHeight="1">
      <c r="A27" s="1297"/>
      <c r="B27" s="1297"/>
      <c r="C27" s="1297"/>
      <c r="D27" s="1297"/>
      <c r="F27" s="96" t="s">
        <v>179</v>
      </c>
      <c r="G27" s="96"/>
      <c r="H27" s="96"/>
      <c r="I27" s="96"/>
      <c r="J27" s="96"/>
      <c r="K27" s="28">
        <v>2000</v>
      </c>
      <c r="M27" s="96"/>
      <c r="N27" s="336"/>
    </row>
    <row r="28" spans="1:16" ht="11.25" customHeight="1">
      <c r="A28" s="96" t="s">
        <v>943</v>
      </c>
      <c r="B28" s="96"/>
      <c r="C28" s="96"/>
      <c r="D28" s="96"/>
      <c r="E28" s="96"/>
      <c r="G28" s="96"/>
      <c r="H28" s="96"/>
      <c r="I28" s="96"/>
      <c r="J28" s="96"/>
      <c r="K28" s="96"/>
      <c r="L28" s="1287"/>
      <c r="M28" s="1287"/>
      <c r="N28" s="1287"/>
    </row>
    <row r="29" spans="1:16" ht="11.25" customHeight="1">
      <c r="A29" s="96"/>
      <c r="B29" s="1634" t="s">
        <v>180</v>
      </c>
      <c r="C29" s="96"/>
      <c r="D29" s="1634"/>
      <c r="G29" s="1308"/>
      <c r="H29" s="1308"/>
      <c r="I29" s="1308"/>
      <c r="J29" s="1308"/>
      <c r="K29" s="1308"/>
      <c r="L29" s="96"/>
    </row>
    <row r="30" spans="1:16" ht="11.25" customHeight="1">
      <c r="A30" s="96"/>
      <c r="B30" s="1635"/>
      <c r="C30" s="96"/>
      <c r="D30" s="1634"/>
      <c r="H30" s="1308"/>
      <c r="I30" s="1308"/>
      <c r="J30" s="1308"/>
      <c r="K30" s="1308"/>
    </row>
    <row r="31" spans="1:16" ht="11.25" customHeight="1">
      <c r="A31" s="96" t="s">
        <v>1003</v>
      </c>
      <c r="B31" s="27"/>
      <c r="C31" s="175"/>
      <c r="D31" s="1273"/>
      <c r="E31" s="180" t="s">
        <v>181</v>
      </c>
      <c r="F31" s="1627" t="s">
        <v>182</v>
      </c>
      <c r="G31" s="1627"/>
      <c r="H31" s="1627"/>
      <c r="I31" s="1627"/>
      <c r="J31" s="1627"/>
      <c r="K31" s="1308"/>
      <c r="L31" s="337"/>
      <c r="M31" s="1308"/>
      <c r="N31" s="1308"/>
      <c r="O31" s="1"/>
    </row>
    <row r="32" spans="1:16" ht="11.25" customHeight="1">
      <c r="A32" s="96" t="s">
        <v>183</v>
      </c>
      <c r="B32" s="18"/>
      <c r="C32" s="175"/>
      <c r="D32" s="1273"/>
      <c r="F32" s="1627"/>
      <c r="G32" s="1627"/>
      <c r="H32" s="1627"/>
      <c r="I32" s="1627"/>
      <c r="J32" s="1627"/>
      <c r="K32" s="28">
        <v>0</v>
      </c>
      <c r="M32" s="1308"/>
      <c r="N32" s="1308"/>
    </row>
    <row r="33" spans="1:16" ht="11.25" customHeight="1">
      <c r="A33" s="96" t="s">
        <v>1004</v>
      </c>
      <c r="B33" s="18"/>
      <c r="C33" s="175"/>
      <c r="D33" s="1273"/>
      <c r="G33" s="1308"/>
      <c r="H33" s="1308"/>
      <c r="I33" s="1308"/>
      <c r="J33" s="1308"/>
      <c r="K33" s="1308"/>
      <c r="L33" s="1308"/>
      <c r="M33" s="1308"/>
      <c r="N33" s="1308"/>
    </row>
    <row r="34" spans="1:16" ht="11.25" customHeight="1">
      <c r="A34" s="96" t="s">
        <v>1005</v>
      </c>
      <c r="B34" s="24"/>
      <c r="C34" s="175"/>
      <c r="D34" s="1273"/>
      <c r="G34" s="339"/>
      <c r="H34" s="339"/>
      <c r="I34" s="339"/>
      <c r="J34" s="339"/>
      <c r="K34" s="339"/>
      <c r="L34" s="340"/>
      <c r="M34" s="1308"/>
      <c r="N34" s="1308"/>
    </row>
    <row r="35" spans="1:16" ht="12" customHeight="1">
      <c r="A35" s="96" t="s">
        <v>184</v>
      </c>
      <c r="B35" s="18"/>
      <c r="C35" s="175"/>
      <c r="D35" s="1273"/>
      <c r="E35" s="96"/>
      <c r="G35" s="339"/>
      <c r="H35" s="339"/>
      <c r="I35" s="339"/>
      <c r="J35" s="339"/>
      <c r="K35" s="339"/>
      <c r="M35" s="1308"/>
      <c r="N35" s="1308"/>
    </row>
    <row r="36" spans="1:16" s="343" customFormat="1" ht="10.5" customHeight="1">
      <c r="A36" s="96" t="s">
        <v>1006</v>
      </c>
      <c r="B36" s="1442">
        <v>9500</v>
      </c>
      <c r="C36" s="341"/>
      <c r="D36" s="342"/>
      <c r="E36" s="1310"/>
      <c r="F36"/>
      <c r="G36" s="341"/>
      <c r="H36" s="1310"/>
      <c r="I36" s="1310"/>
      <c r="J36" s="1310"/>
      <c r="K36" s="1310"/>
      <c r="L36" s="1310"/>
    </row>
    <row r="37" spans="1:16" ht="10.5" customHeight="1">
      <c r="A37" s="96"/>
      <c r="B37" s="96"/>
      <c r="C37" s="175"/>
      <c r="D37" s="96"/>
      <c r="E37" s="96"/>
      <c r="G37" s="177"/>
      <c r="H37" s="96"/>
      <c r="I37" s="96"/>
      <c r="J37" s="96"/>
      <c r="K37" s="96"/>
      <c r="L37" s="96"/>
    </row>
    <row r="38" spans="1:16" ht="11.25" customHeight="1">
      <c r="A38" s="96" t="s">
        <v>185</v>
      </c>
      <c r="B38" s="96"/>
      <c r="C38" s="177"/>
      <c r="D38" s="33"/>
      <c r="E38" s="96" t="s">
        <v>186</v>
      </c>
      <c r="G38" s="33"/>
      <c r="H38" s="96" t="s">
        <v>187</v>
      </c>
      <c r="I38" s="96"/>
      <c r="J38" s="33"/>
      <c r="K38" t="s">
        <v>44</v>
      </c>
    </row>
    <row r="39" spans="1:16" ht="6" customHeight="1">
      <c r="A39" s="96"/>
      <c r="B39" s="96"/>
      <c r="C39" s="175"/>
      <c r="D39" s="96"/>
      <c r="E39" s="96"/>
      <c r="G39" s="96"/>
      <c r="H39" s="96"/>
      <c r="I39" s="96"/>
      <c r="J39" s="344"/>
    </row>
    <row r="40" spans="1:16" ht="11.25" customHeight="1">
      <c r="A40" s="96" t="s">
        <v>188</v>
      </c>
      <c r="B40" s="96"/>
      <c r="C40" s="177"/>
      <c r="D40" s="33"/>
      <c r="E40" s="96" t="s">
        <v>189</v>
      </c>
      <c r="G40" s="33"/>
      <c r="H40" s="96" t="s">
        <v>190</v>
      </c>
      <c r="I40" s="96"/>
      <c r="J40" s="33"/>
      <c r="K40" t="s">
        <v>44</v>
      </c>
    </row>
    <row r="41" spans="1:16" ht="11.25" customHeight="1">
      <c r="A41" s="96"/>
      <c r="B41" s="96"/>
      <c r="C41" s="175"/>
      <c r="G41" s="177"/>
    </row>
    <row r="42" spans="1:16" ht="11.25" customHeight="1">
      <c r="A42" s="96"/>
      <c r="B42" s="96"/>
      <c r="C42" s="175"/>
      <c r="G42" s="177"/>
    </row>
    <row r="43" spans="1:16" ht="11.25" customHeight="1">
      <c r="A43" s="96"/>
      <c r="B43" s="96"/>
      <c r="C43" s="175"/>
      <c r="G43" s="177"/>
      <c r="P43" s="328"/>
    </row>
  </sheetData>
  <sheetProtection sheet="1" formatCells="0" formatColumns="0" formatRows="0"/>
  <mergeCells count="13">
    <mergeCell ref="F31:J32"/>
    <mergeCell ref="A21:B21"/>
    <mergeCell ref="B1:E1"/>
    <mergeCell ref="D4:D6"/>
    <mergeCell ref="G4:G6"/>
    <mergeCell ref="H4:H6"/>
    <mergeCell ref="B29:B30"/>
    <mergeCell ref="D29:D30"/>
    <mergeCell ref="A24:D26"/>
    <mergeCell ref="I4:I6"/>
    <mergeCell ref="D3:M3"/>
    <mergeCell ref="F4:F6"/>
    <mergeCell ref="F22:M22"/>
  </mergeCells>
  <conditionalFormatting sqref="L20">
    <cfRule type="containsBlanks" dxfId="25" priority="1">
      <formula>LEN(TRIM(L20))=0</formula>
    </cfRule>
  </conditionalFormatting>
  <hyperlinks>
    <hyperlink ref="E24" location="Page4f5" display="(5)" xr:uid="{00000000-0004-0000-0500-000000000000}"/>
    <hyperlink ref="C19" location="Page4L11" display="11." xr:uid="{00000000-0004-0000-0500-000001000000}"/>
    <hyperlink ref="E31" location="DataEntryUSCSCAl7" display="(7)" xr:uid="{00000000-0004-0000-0500-000002000000}"/>
    <hyperlink ref="C20" location="PlannedCarryforward" display="10." xr:uid="{00000000-0004-0000-0500-000003000000}"/>
    <hyperlink ref="C21" location="Page4L12" display="12." xr:uid="{00000000-0004-0000-0500-000004000000}"/>
    <hyperlink ref="A4" location="Page4L11" display="Instructions" xr:uid="{00000000-0004-0000-0500-000005000000}"/>
  </hyperlinks>
  <printOptions horizontalCentered="1"/>
  <pageMargins left="0.25" right="0.25" top="0.25" bottom="0.25" header="0" footer="0.15"/>
  <pageSetup paperSize="5" scale="88" orientation="landscape" r:id="rId1"/>
  <headerFooter alignWithMargins="0">
    <oddFooter>&amp;L&amp;"Times New Roman,Bold"&amp;9Rev. 5/26&amp;K000000 Arizona Department of Education and Auditor General&amp;C&amp;"Times New Roman,Regular"&amp;9&amp;D  &amp;T</oddFooter>
  </headerFooter>
  <extLst>
    <ext xmlns:x14="http://schemas.microsoft.com/office/spreadsheetml/2009/9/main" uri="{78C0D931-6437-407d-A8EE-F0AAD7539E65}">
      <x14:conditionalFormattings>
        <x14:conditionalFormatting xmlns:xm="http://schemas.microsoft.com/office/excel/2006/main">
          <x14:cfRule type="expression" priority="18" id="{00000000-000E-0000-0500-000012000000}">
            <xm:f>ROUND(L19,0)&gt;ROUND('Page 8'!K30,0)</xm:f>
            <x14:dxf>
              <font>
                <color rgb="FFFF0000"/>
              </font>
            </x14:dxf>
          </x14:cfRule>
          <xm:sqref>F22:G22 I22:M22</xm:sqref>
        </x14:conditionalFormatting>
        <x14:conditionalFormatting xmlns:xm="http://schemas.microsoft.com/office/excel/2006/main">
          <x14:cfRule type="expression" priority="23" id="{00000000-000E-0000-0500-000017000000}">
            <xm:f>ROUND(N20,0)&gt;ROUND('Page 8'!M30,0)</xm:f>
            <x14:dxf>
              <font>
                <color rgb="FFFF0000"/>
              </font>
            </x14:dxf>
          </x14:cfRule>
          <xm:sqref>H22</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O41"/>
  <sheetViews>
    <sheetView showGridLines="0" zoomScaleNormal="100" zoomScaleSheetLayoutView="100" workbookViewId="0">
      <selection activeCell="K25" sqref="K25"/>
    </sheetView>
  </sheetViews>
  <sheetFormatPr defaultColWidth="8.81640625" defaultRowHeight="15"/>
  <cols>
    <col min="1" max="1" width="20" customWidth="1"/>
    <col min="2" max="2" width="19.81640625" customWidth="1"/>
    <col min="3" max="3" width="3" customWidth="1"/>
    <col min="4" max="5" width="10.81640625" customWidth="1"/>
    <col min="12" max="12" width="2.81640625" customWidth="1"/>
    <col min="13" max="13" width="7.54296875" customWidth="1"/>
    <col min="14" max="14" width="11.81640625" customWidth="1"/>
  </cols>
  <sheetData>
    <row r="1" spans="1:15">
      <c r="A1" s="1270" t="s">
        <v>140</v>
      </c>
      <c r="B1" s="1596" t="str">
        <f>DistrictName</f>
        <v>Pomerene Elementary School District</v>
      </c>
      <c r="C1" s="1606"/>
      <c r="D1" s="1606"/>
      <c r="E1" s="1606"/>
      <c r="F1" s="138"/>
      <c r="G1" s="1270" t="s">
        <v>1</v>
      </c>
      <c r="H1" s="1269" t="str">
        <f>Cover!H1</f>
        <v>Cochise</v>
      </c>
      <c r="I1" s="1291"/>
      <c r="J1" s="1270" t="s">
        <v>57</v>
      </c>
      <c r="K1" s="98" t="str">
        <f>Cover!S1</f>
        <v>020364000</v>
      </c>
      <c r="L1" s="148"/>
      <c r="M1" s="1270" t="s">
        <v>16</v>
      </c>
      <c r="N1" s="1267" t="str">
        <f>Cover!C8</f>
        <v>Proposed</v>
      </c>
    </row>
    <row r="2" spans="1:15" ht="15.6">
      <c r="A2" s="1305"/>
      <c r="B2" s="138"/>
      <c r="C2" s="138"/>
      <c r="D2" s="138"/>
      <c r="E2" s="138"/>
      <c r="F2" s="138"/>
      <c r="G2" s="1305"/>
      <c r="H2" s="138"/>
      <c r="I2" s="138"/>
      <c r="J2" s="138"/>
      <c r="K2" s="1305"/>
      <c r="L2" s="138"/>
      <c r="O2" s="97"/>
    </row>
    <row r="3" spans="1:15" ht="15.6">
      <c r="A3" s="345" t="s">
        <v>191</v>
      </c>
      <c r="B3" s="345"/>
      <c r="C3" s="345"/>
      <c r="D3" s="345"/>
      <c r="E3" s="345"/>
      <c r="F3" s="345"/>
      <c r="G3" s="345"/>
      <c r="H3" s="345"/>
      <c r="I3" s="345"/>
      <c r="J3" s="1302"/>
      <c r="K3" s="1302"/>
      <c r="L3" s="4"/>
      <c r="M3" s="4"/>
      <c r="N3" s="4"/>
      <c r="O3" s="97"/>
    </row>
    <row r="4" spans="1:15" ht="15.6">
      <c r="A4" s="269"/>
      <c r="B4" s="269"/>
      <c r="C4" s="269"/>
      <c r="D4" s="1302"/>
      <c r="E4" s="346"/>
      <c r="F4" s="347"/>
      <c r="G4" s="347"/>
      <c r="H4" s="347"/>
      <c r="I4" s="347"/>
      <c r="J4" s="347"/>
      <c r="K4" s="347"/>
      <c r="L4" s="4"/>
      <c r="M4" s="348"/>
      <c r="N4" s="348"/>
      <c r="O4" s="97"/>
    </row>
    <row r="5" spans="1:15">
      <c r="A5" s="1477" t="s">
        <v>691</v>
      </c>
      <c r="B5" s="349"/>
      <c r="C5" s="350"/>
      <c r="D5" s="1649" t="s">
        <v>180</v>
      </c>
      <c r="E5" s="1650"/>
      <c r="F5" s="1651" t="s">
        <v>192</v>
      </c>
      <c r="G5" s="1651"/>
      <c r="H5" s="1651" t="s">
        <v>193</v>
      </c>
      <c r="I5" s="1651"/>
      <c r="J5" s="1640" t="s">
        <v>194</v>
      </c>
      <c r="K5" s="1641"/>
      <c r="L5" s="351"/>
      <c r="M5" s="175"/>
    </row>
    <row r="6" spans="1:15">
      <c r="A6" s="352" t="s">
        <v>87</v>
      </c>
      <c r="C6" s="353"/>
      <c r="D6" s="1644" t="s">
        <v>195</v>
      </c>
      <c r="E6" s="1645"/>
      <c r="F6" s="1646" t="s">
        <v>196</v>
      </c>
      <c r="G6" s="1646"/>
      <c r="H6" s="1646" t="s">
        <v>197</v>
      </c>
      <c r="I6" s="1646"/>
      <c r="J6" s="1642" t="s">
        <v>198</v>
      </c>
      <c r="K6" s="1643"/>
      <c r="L6" s="1273"/>
    </row>
    <row r="7" spans="1:15">
      <c r="A7" s="354"/>
      <c r="B7" s="355"/>
      <c r="C7" s="356"/>
      <c r="D7" s="284" t="s">
        <v>129</v>
      </c>
      <c r="E7" s="357" t="s">
        <v>130</v>
      </c>
      <c r="F7" s="284" t="s">
        <v>129</v>
      </c>
      <c r="G7" s="357" t="s">
        <v>130</v>
      </c>
      <c r="H7" s="284" t="s">
        <v>129</v>
      </c>
      <c r="I7" s="357" t="s">
        <v>130</v>
      </c>
      <c r="J7" s="358" t="s">
        <v>129</v>
      </c>
      <c r="K7" s="359" t="s">
        <v>130</v>
      </c>
      <c r="L7" s="96"/>
      <c r="M7" s="177"/>
    </row>
    <row r="8" spans="1:15" ht="13.5" customHeight="1">
      <c r="A8" s="360" t="s">
        <v>1072</v>
      </c>
      <c r="B8" s="361"/>
      <c r="C8" s="362" t="s">
        <v>6</v>
      </c>
      <c r="D8" s="363">
        <f>F610TotalCurrFY</f>
        <v>63478</v>
      </c>
      <c r="E8" s="364">
        <f>F610TotalBudgFY</f>
        <v>71500</v>
      </c>
      <c r="F8" s="364">
        <f>[1]!F630TotalBudgFY</f>
        <v>0</v>
      </c>
      <c r="G8" s="93"/>
      <c r="H8" s="364">
        <f>[1]!F695TotalBudgFY</f>
        <v>0</v>
      </c>
      <c r="I8" s="93"/>
      <c r="J8" s="365">
        <f>[1]!F620TotalBudgFY</f>
        <v>45097</v>
      </c>
      <c r="K8" s="54">
        <v>45097</v>
      </c>
      <c r="L8" s="366" t="s">
        <v>6</v>
      </c>
      <c r="M8" s="175"/>
    </row>
    <row r="9" spans="1:15" ht="13.5" customHeight="1">
      <c r="A9" s="367" t="s">
        <v>1073</v>
      </c>
      <c r="B9" s="349"/>
      <c r="C9" s="362"/>
      <c r="D9" s="286"/>
      <c r="E9" s="368"/>
      <c r="F9" s="368"/>
      <c r="G9" s="369"/>
      <c r="H9" s="368"/>
      <c r="I9" s="369"/>
      <c r="J9" s="370"/>
      <c r="K9" s="371"/>
      <c r="L9" s="366"/>
      <c r="M9" s="177"/>
    </row>
    <row r="10" spans="1:15" ht="13.5" customHeight="1">
      <c r="A10" s="372" t="s">
        <v>1007</v>
      </c>
      <c r="B10" s="271"/>
      <c r="C10" s="1340" t="s">
        <v>8</v>
      </c>
      <c r="D10" s="1351">
        <f>[1]!F610BudgFYO6150</f>
        <v>0</v>
      </c>
      <c r="E10" s="1341"/>
      <c r="F10" s="364">
        <f>[1]!F630BudgFYO6150</f>
        <v>0</v>
      </c>
      <c r="G10" s="40"/>
      <c r="H10" s="364">
        <f>[1]!F695BudgFYO6150</f>
        <v>0</v>
      </c>
      <c r="I10" s="40"/>
      <c r="J10" s="364">
        <f>[1]!F620BudgFYO6150</f>
        <v>0</v>
      </c>
      <c r="K10" s="49"/>
      <c r="L10" s="305" t="s">
        <v>8</v>
      </c>
      <c r="M10" s="177"/>
    </row>
    <row r="11" spans="1:15" ht="13.5" customHeight="1">
      <c r="A11" s="372" t="s">
        <v>1008</v>
      </c>
      <c r="B11" s="271"/>
      <c r="C11" s="1340" t="s">
        <v>22</v>
      </c>
      <c r="D11" s="1345">
        <f>[1]!F610BudgFYO6200</f>
        <v>0</v>
      </c>
      <c r="E11" s="1342"/>
      <c r="F11" s="291">
        <f>[1]!F630BudgFYO6200</f>
        <v>0</v>
      </c>
      <c r="G11" s="41"/>
      <c r="H11" s="291">
        <f>[1]!F695BudgFYO6200</f>
        <v>0</v>
      </c>
      <c r="I11" s="41"/>
      <c r="J11" s="291">
        <f>[1]!F620BudgFYO6200</f>
        <v>0</v>
      </c>
      <c r="K11" s="22"/>
      <c r="L11" s="305" t="s">
        <v>22</v>
      </c>
      <c r="M11" s="184"/>
    </row>
    <row r="12" spans="1:15" ht="13.5" customHeight="1">
      <c r="A12" s="372" t="s">
        <v>1009</v>
      </c>
      <c r="B12" s="271"/>
      <c r="C12" s="1340" t="s">
        <v>40</v>
      </c>
      <c r="D12" s="1345">
        <f>[1]!F610BudgFYO6450</f>
        <v>0</v>
      </c>
      <c r="E12" s="1342"/>
      <c r="F12" s="291">
        <f>[1]!F630BudgFYO6450</f>
        <v>0</v>
      </c>
      <c r="G12" s="41"/>
      <c r="H12" s="291">
        <f>[1]!F695BudgFYO6450</f>
        <v>0</v>
      </c>
      <c r="I12" s="41"/>
      <c r="J12" s="291">
        <f>[1]!F620BudgFYO6450</f>
        <v>45097</v>
      </c>
      <c r="K12" s="22">
        <v>45097</v>
      </c>
      <c r="L12" s="305" t="s">
        <v>40</v>
      </c>
      <c r="M12" s="184"/>
    </row>
    <row r="13" spans="1:15" ht="13.5" customHeight="1">
      <c r="A13" s="372" t="s">
        <v>1010</v>
      </c>
      <c r="B13" s="271"/>
      <c r="C13" s="1340" t="s">
        <v>98</v>
      </c>
      <c r="D13" s="1345">
        <f>'[1]Page 5'!$E$13</f>
        <v>0</v>
      </c>
      <c r="E13" s="1342"/>
      <c r="F13" s="1535">
        <f>'[1]Page 5'!$G$13</f>
        <v>0</v>
      </c>
      <c r="G13" s="41"/>
      <c r="H13" s="1535">
        <f>'[1]Page 5'!$I$13</f>
        <v>0</v>
      </c>
      <c r="I13" s="41"/>
      <c r="J13" s="1535">
        <f>'[1]Page 5'!$K$13</f>
        <v>0</v>
      </c>
      <c r="K13" s="22"/>
      <c r="L13" s="305" t="s">
        <v>98</v>
      </c>
      <c r="M13" s="184"/>
    </row>
    <row r="14" spans="1:15" ht="13.5" customHeight="1">
      <c r="A14" s="372" t="s">
        <v>1011</v>
      </c>
      <c r="B14" s="271"/>
      <c r="C14" s="1340" t="s">
        <v>99</v>
      </c>
      <c r="D14" s="1345">
        <f>[1]!F610BudgFYO6710</f>
        <v>0</v>
      </c>
      <c r="E14" s="1342"/>
      <c r="F14" s="291">
        <f>[1]!F630BudgFYO6710</f>
        <v>0</v>
      </c>
      <c r="G14" s="41"/>
      <c r="H14" s="291">
        <f>[1]!F695BudgFYO6710</f>
        <v>0</v>
      </c>
      <c r="I14" s="41"/>
      <c r="J14" s="291">
        <f>[1]!F620BudgFYO6710</f>
        <v>0</v>
      </c>
      <c r="K14" s="22"/>
      <c r="L14" s="305" t="s">
        <v>99</v>
      </c>
      <c r="M14" s="184"/>
    </row>
    <row r="15" spans="1:15" ht="13.5" customHeight="1">
      <c r="A15" s="372" t="s">
        <v>1012</v>
      </c>
      <c r="B15" s="271"/>
      <c r="C15" s="1340" t="s">
        <v>100</v>
      </c>
      <c r="D15" s="1345">
        <f>[1]!F610BudgFYO6720</f>
        <v>0</v>
      </c>
      <c r="E15" s="1342"/>
      <c r="F15" s="291">
        <f>[1]!F630BudgFYO6720</f>
        <v>0</v>
      </c>
      <c r="G15" s="41"/>
      <c r="H15" s="291">
        <f>[1]!F695BudgFYO6720</f>
        <v>0</v>
      </c>
      <c r="I15" s="41"/>
      <c r="J15" s="291">
        <f>[1]!F620BudgFYO6720</f>
        <v>0</v>
      </c>
      <c r="K15" s="22"/>
      <c r="L15" s="305" t="s">
        <v>100</v>
      </c>
      <c r="M15" s="177"/>
    </row>
    <row r="16" spans="1:15" ht="13.5" customHeight="1">
      <c r="A16" s="372" t="s">
        <v>1013</v>
      </c>
      <c r="B16" s="271"/>
      <c r="C16" s="1340" t="s">
        <v>102</v>
      </c>
      <c r="D16" s="1345">
        <f>[1]!F610BudgFYO6731</f>
        <v>10200</v>
      </c>
      <c r="E16" s="1343">
        <f>F610O6731</f>
        <v>0</v>
      </c>
      <c r="F16" s="291">
        <f>[1]!F630BudgFYO6731</f>
        <v>0</v>
      </c>
      <c r="G16" s="41"/>
      <c r="H16" s="291">
        <f>[1]!F695BudgFYO6731</f>
        <v>0</v>
      </c>
      <c r="I16" s="41"/>
      <c r="J16" s="291">
        <f>[1]!F620BudgFYO6731</f>
        <v>0</v>
      </c>
      <c r="K16" s="22"/>
      <c r="L16" s="305" t="s">
        <v>102</v>
      </c>
      <c r="M16" s="177"/>
    </row>
    <row r="17" spans="1:15" ht="13.5" customHeight="1">
      <c r="A17" s="372" t="s">
        <v>199</v>
      </c>
      <c r="B17" s="271"/>
      <c r="C17" s="1340" t="s">
        <v>103</v>
      </c>
      <c r="D17" s="1345">
        <f>[1]!F610BudgFYO6734</f>
        <v>0</v>
      </c>
      <c r="E17" s="1343">
        <f>F610O6734</f>
        <v>0</v>
      </c>
      <c r="F17" s="291">
        <f>[1]!F630BudgFYO6734</f>
        <v>0</v>
      </c>
      <c r="G17" s="41"/>
      <c r="H17" s="291">
        <f>[1]!F695BudgFYO6734</f>
        <v>0</v>
      </c>
      <c r="I17" s="41"/>
      <c r="J17" s="291">
        <f>[1]!F620BudgFYO6734</f>
        <v>0</v>
      </c>
      <c r="K17" s="22"/>
      <c r="L17" s="375" t="s">
        <v>103</v>
      </c>
      <c r="M17" s="177"/>
    </row>
    <row r="18" spans="1:15" ht="13.5" customHeight="1">
      <c r="A18" s="372" t="s">
        <v>1014</v>
      </c>
      <c r="B18" s="271"/>
      <c r="C18" s="1340" t="s">
        <v>104</v>
      </c>
      <c r="D18" s="1345">
        <f>[1]!F610BudgFYO6737</f>
        <v>9500</v>
      </c>
      <c r="E18" s="1343">
        <f>F610O6737</f>
        <v>9500</v>
      </c>
      <c r="F18" s="291">
        <f>[1]!F630BudgFYO6737</f>
        <v>0</v>
      </c>
      <c r="G18" s="41"/>
      <c r="H18" s="291">
        <f>[1]!F695BudgFYO6737</f>
        <v>0</v>
      </c>
      <c r="I18" s="41"/>
      <c r="J18" s="291">
        <f>[1]!F620BudgFYO6737</f>
        <v>0</v>
      </c>
      <c r="K18" s="21"/>
      <c r="L18" s="375" t="s">
        <v>104</v>
      </c>
      <c r="M18" s="177"/>
    </row>
    <row r="19" spans="1:15" ht="13.5" customHeight="1">
      <c r="A19" s="372" t="s">
        <v>1015</v>
      </c>
      <c r="B19" s="271"/>
      <c r="C19" s="1340" t="s">
        <v>105</v>
      </c>
      <c r="D19" s="1345">
        <f>[1]!F610BudgFYO6831</f>
        <v>0</v>
      </c>
      <c r="E19" s="1342"/>
      <c r="F19" s="291">
        <f>[1]!F630BudgFYO6831</f>
        <v>0</v>
      </c>
      <c r="G19" s="41"/>
      <c r="H19" s="291">
        <f>[1]!F695BudgFYO6831</f>
        <v>0</v>
      </c>
      <c r="I19" s="41"/>
      <c r="J19" s="291">
        <f>[1]!F620BudgFYO6831</f>
        <v>0</v>
      </c>
      <c r="K19" s="21"/>
      <c r="L19" s="375" t="s">
        <v>105</v>
      </c>
      <c r="M19" s="177"/>
    </row>
    <row r="20" spans="1:15" ht="13.5" customHeight="1">
      <c r="A20" s="376" t="s">
        <v>1016</v>
      </c>
      <c r="B20" s="377"/>
      <c r="C20" s="379" t="s">
        <v>106</v>
      </c>
      <c r="D20" s="1345">
        <f>[1]!F610BudgFYO6841</f>
        <v>0</v>
      </c>
      <c r="E20" s="1344"/>
      <c r="F20" s="378">
        <f>[1]!F630BudgFYO6841</f>
        <v>0</v>
      </c>
      <c r="G20" s="44"/>
      <c r="H20" s="378">
        <f>[1]!F695BudgFYO6841</f>
        <v>0</v>
      </c>
      <c r="I20" s="44"/>
      <c r="J20" s="291">
        <f>[1]!F620BudgFYO6841</f>
        <v>0</v>
      </c>
      <c r="K20" s="50"/>
      <c r="L20" s="305" t="s">
        <v>106</v>
      </c>
      <c r="M20" s="177"/>
    </row>
    <row r="21" spans="1:15" ht="13.5" customHeight="1">
      <c r="A21" s="372" t="s">
        <v>903</v>
      </c>
      <c r="B21" s="271"/>
      <c r="C21" s="1340" t="s">
        <v>107</v>
      </c>
      <c r="D21" s="287">
        <f t="shared" ref="D21:K21" si="0">SUM(D10:D20)</f>
        <v>19700</v>
      </c>
      <c r="E21" s="296">
        <f t="shared" si="0"/>
        <v>9500</v>
      </c>
      <c r="F21" s="287">
        <f t="shared" si="0"/>
        <v>0</v>
      </c>
      <c r="G21" s="287">
        <f t="shared" si="0"/>
        <v>0</v>
      </c>
      <c r="H21" s="287">
        <f t="shared" si="0"/>
        <v>0</v>
      </c>
      <c r="I21" s="287">
        <f t="shared" si="0"/>
        <v>0</v>
      </c>
      <c r="J21" s="287">
        <f t="shared" si="0"/>
        <v>45097</v>
      </c>
      <c r="K21" s="287">
        <f t="shared" si="0"/>
        <v>45097</v>
      </c>
      <c r="L21" s="375" t="s">
        <v>107</v>
      </c>
      <c r="M21" s="177"/>
    </row>
    <row r="22" spans="1:15" ht="13.5" customHeight="1">
      <c r="A22" s="285" t="s">
        <v>904</v>
      </c>
      <c r="D22" s="1452"/>
      <c r="E22" s="381"/>
      <c r="F22" s="380"/>
      <c r="G22" s="380"/>
      <c r="H22" s="380"/>
      <c r="I22" s="382"/>
      <c r="J22" s="293"/>
      <c r="K22" s="383"/>
      <c r="M22" s="177"/>
    </row>
    <row r="23" spans="1:15" ht="13.5" customHeight="1">
      <c r="A23" s="372" t="s">
        <v>200</v>
      </c>
      <c r="B23" s="271"/>
      <c r="C23" s="373" t="s">
        <v>108</v>
      </c>
      <c r="D23" s="374">
        <f>[1]!F610BudgFYRenovation</f>
        <v>19700</v>
      </c>
      <c r="E23" s="41">
        <v>9500</v>
      </c>
      <c r="F23" s="291">
        <f>[1]!F630BudgFYRenovation</f>
        <v>0</v>
      </c>
      <c r="G23" s="41"/>
      <c r="H23" s="384"/>
      <c r="I23" s="384"/>
      <c r="J23" s="291">
        <f>[1]!F620BudgFYRenovation</f>
        <v>0</v>
      </c>
      <c r="K23" s="26"/>
      <c r="L23" s="375" t="s">
        <v>108</v>
      </c>
      <c r="M23" s="177"/>
    </row>
    <row r="24" spans="1:15" ht="13.5" customHeight="1">
      <c r="A24" s="372" t="s">
        <v>1017</v>
      </c>
      <c r="B24" s="271"/>
      <c r="C24" s="373" t="s">
        <v>109</v>
      </c>
      <c r="D24" s="374">
        <f>[1]!F610BudgFYNewConstruction</f>
        <v>0</v>
      </c>
      <c r="E24" s="41"/>
      <c r="F24" s="291">
        <f>[1]!F630BudgFYNewConstruction</f>
        <v>0</v>
      </c>
      <c r="G24" s="41"/>
      <c r="H24" s="291">
        <f>[1]!F695BudgFYNewConstruction</f>
        <v>0</v>
      </c>
      <c r="I24" s="41"/>
      <c r="J24" s="291">
        <f>[1]!F620BudgFYNewConstruction</f>
        <v>45097</v>
      </c>
      <c r="K24" s="21">
        <v>45097</v>
      </c>
      <c r="L24" s="375" t="s">
        <v>109</v>
      </c>
      <c r="M24" s="177"/>
    </row>
    <row r="25" spans="1:15" ht="13.5" customHeight="1">
      <c r="A25" s="372" t="s">
        <v>201</v>
      </c>
      <c r="B25" s="271"/>
      <c r="C25" s="373" t="s">
        <v>110</v>
      </c>
      <c r="D25" s="374">
        <f>[1]!F610BudgFYOther</f>
        <v>0</v>
      </c>
      <c r="E25" s="41"/>
      <c r="F25" s="291">
        <f>[1]!F630BudgFYOther</f>
        <v>0</v>
      </c>
      <c r="G25" s="41"/>
      <c r="H25" s="291">
        <f>[1]!F695BudgFYOther</f>
        <v>0</v>
      </c>
      <c r="I25" s="41"/>
      <c r="J25" s="291">
        <f>[1]!F620BudgFYOther</f>
        <v>0</v>
      </c>
      <c r="K25" s="21"/>
      <c r="L25" s="305" t="s">
        <v>110</v>
      </c>
      <c r="M25" s="177"/>
    </row>
    <row r="26" spans="1:15" ht="13.5" customHeight="1">
      <c r="A26" s="354" t="s">
        <v>905</v>
      </c>
      <c r="B26" s="355"/>
      <c r="C26" s="1339" t="s">
        <v>111</v>
      </c>
      <c r="D26" s="374">
        <f>SUM(D23:D25)</f>
        <v>19700</v>
      </c>
      <c r="E26" s="291">
        <f>SUM(E23:E25)</f>
        <v>9500</v>
      </c>
      <c r="F26" s="291">
        <f>SUM(F23:F25)</f>
        <v>0</v>
      </c>
      <c r="G26" s="291">
        <f>SUM(G23:G25)</f>
        <v>0</v>
      </c>
      <c r="H26" s="291">
        <f>SUM(H24:H25)</f>
        <v>0</v>
      </c>
      <c r="I26" s="291">
        <f>SUM(I24:I25)</f>
        <v>0</v>
      </c>
      <c r="J26" s="291">
        <f>SUM(J23:J25)</f>
        <v>45097</v>
      </c>
      <c r="K26" s="291">
        <f>SUM(K23:K25)</f>
        <v>45097</v>
      </c>
      <c r="L26" s="305" t="s">
        <v>111</v>
      </c>
      <c r="M26" s="177"/>
    </row>
    <row r="27" spans="1:15">
      <c r="A27" s="96"/>
      <c r="B27" s="96"/>
      <c r="C27" s="175"/>
      <c r="D27" s="385"/>
      <c r="E27" s="386" t="str">
        <f>IF(SUM(E23:E25)=E21,"","Check line 12")</f>
        <v/>
      </c>
      <c r="F27" s="385"/>
      <c r="G27" s="386" t="str">
        <f>IF(SUM(G23:G25)=G21,"","Check line 12")</f>
        <v/>
      </c>
      <c r="H27" s="385"/>
      <c r="I27" s="386" t="str">
        <f>IF(SUM(I24:I25)=I21,"","Check line 12")</f>
        <v/>
      </c>
      <c r="J27" s="1281"/>
      <c r="K27" s="387" t="str">
        <f>IF(SUM(K23:K25)=K21,"","Check line 12")</f>
        <v/>
      </c>
      <c r="L27" s="1280"/>
      <c r="M27" s="1271"/>
      <c r="N27" s="1271"/>
      <c r="O27" s="177"/>
    </row>
    <row r="28" spans="1:15">
      <c r="A28" s="269" t="s">
        <v>906</v>
      </c>
      <c r="B28" s="96"/>
      <c r="C28" s="175"/>
      <c r="D28" s="385"/>
      <c r="E28" s="385"/>
      <c r="F28" s="385"/>
      <c r="G28" s="385"/>
      <c r="H28" s="385"/>
      <c r="I28" s="385"/>
      <c r="J28" s="1281"/>
      <c r="K28" s="1281"/>
      <c r="L28" s="1280"/>
      <c r="M28" s="1279"/>
      <c r="N28" s="1279"/>
      <c r="O28" s="177"/>
    </row>
    <row r="29" spans="1:15">
      <c r="A29" s="305" t="s">
        <v>1376</v>
      </c>
      <c r="B29" s="96"/>
      <c r="E29" s="55">
        <v>0</v>
      </c>
      <c r="F29" s="1281"/>
      <c r="G29" s="1281"/>
      <c r="H29" s="1281"/>
      <c r="I29" s="1281"/>
      <c r="J29" s="1281"/>
      <c r="K29" s="1281"/>
      <c r="L29" s="1280"/>
      <c r="M29" s="1279"/>
      <c r="N29" s="1279"/>
      <c r="O29" s="177"/>
    </row>
    <row r="30" spans="1:15">
      <c r="A30" s="388" t="str">
        <f>IF((E29&gt;0),"Districts that are levying any amount for adjacent ways must fill in the Truth in Taxation Worksheet and follow the requirements of A.R.S. Sec. 15-905.01. The amount reported in footnote 2 above pulls to the Truth in Taxation Worksheet, Line 12.","")</f>
        <v/>
      </c>
      <c r="B30" s="96"/>
      <c r="C30" s="175"/>
      <c r="D30" s="1281"/>
      <c r="E30" s="1281"/>
      <c r="F30" s="1282"/>
      <c r="G30" s="1281"/>
      <c r="H30" s="1281"/>
      <c r="I30" s="1282"/>
      <c r="J30" s="1281"/>
      <c r="K30" s="1281"/>
      <c r="L30" s="1280"/>
      <c r="M30" s="1279"/>
      <c r="N30" s="1279"/>
      <c r="O30" s="290"/>
    </row>
    <row r="31" spans="1:15">
      <c r="A31" s="96"/>
      <c r="B31" s="96"/>
      <c r="C31" s="175"/>
      <c r="D31" s="1281"/>
      <c r="E31" s="1281"/>
      <c r="F31" s="1282"/>
      <c r="G31" s="1281"/>
      <c r="H31" s="1281"/>
      <c r="I31" s="1282"/>
      <c r="J31" s="1281"/>
      <c r="K31" s="1282"/>
      <c r="L31" s="1280"/>
      <c r="M31" s="1271"/>
      <c r="N31" s="1271"/>
      <c r="O31" s="177"/>
    </row>
    <row r="32" spans="1:15">
      <c r="A32" s="96"/>
      <c r="B32" s="96"/>
      <c r="D32" s="1648"/>
      <c r="E32" s="1648"/>
      <c r="F32" s="1282"/>
      <c r="G32" s="1648"/>
      <c r="H32" s="1648"/>
      <c r="I32" s="1282"/>
      <c r="J32" s="1648"/>
      <c r="K32" s="1648"/>
      <c r="L32" s="1652"/>
      <c r="M32" s="1647"/>
      <c r="N32" s="1647"/>
      <c r="O32" s="290"/>
    </row>
    <row r="33" spans="1:15">
      <c r="A33" s="96"/>
      <c r="B33" s="96"/>
      <c r="C33" s="175"/>
      <c r="D33" s="1608"/>
      <c r="E33" s="1608"/>
      <c r="F33" s="1282"/>
      <c r="G33" s="1648"/>
      <c r="H33" s="1648"/>
      <c r="I33" s="1282"/>
      <c r="J33" s="1608"/>
      <c r="K33" s="1653"/>
      <c r="L33" s="1652"/>
      <c r="M33" s="1617"/>
      <c r="N33" s="1617"/>
      <c r="O33" s="177"/>
    </row>
    <row r="34" spans="1:15">
      <c r="A34" s="96"/>
      <c r="B34" s="1301"/>
      <c r="C34" s="175"/>
      <c r="D34" s="1281"/>
      <c r="E34" s="1281"/>
      <c r="F34" s="1281"/>
      <c r="G34" s="1281"/>
      <c r="H34" s="1281"/>
      <c r="I34" s="1281"/>
      <c r="J34" s="1281"/>
      <c r="K34" s="1281"/>
      <c r="L34" s="1280"/>
      <c r="M34" s="1271"/>
      <c r="N34" s="1271"/>
      <c r="O34" s="177"/>
    </row>
    <row r="35" spans="1:15">
      <c r="A35" s="96"/>
      <c r="B35" s="96"/>
      <c r="C35" s="175"/>
      <c r="D35" s="1281"/>
      <c r="E35" s="1281"/>
      <c r="F35" s="1281"/>
      <c r="G35" s="1281"/>
      <c r="H35" s="1281"/>
      <c r="I35" s="1281"/>
      <c r="J35" s="1281"/>
      <c r="K35" s="1281"/>
      <c r="L35" s="1280"/>
      <c r="M35" s="1271"/>
      <c r="N35" s="1271"/>
      <c r="O35" s="177"/>
    </row>
    <row r="36" spans="1:15">
      <c r="A36" s="96"/>
      <c r="B36" s="96"/>
      <c r="C36" s="175"/>
      <c r="D36" s="1281"/>
      <c r="E36" s="1281"/>
      <c r="F36" s="1281"/>
      <c r="G36" s="1281"/>
      <c r="H36" s="1281"/>
      <c r="I36" s="1281"/>
      <c r="J36" s="1281"/>
      <c r="K36" s="1281"/>
      <c r="L36" s="1280"/>
      <c r="M36" s="1271"/>
      <c r="N36" s="1271"/>
      <c r="O36" s="177"/>
    </row>
    <row r="37" spans="1:15">
      <c r="A37" s="96"/>
      <c r="B37" s="96"/>
      <c r="C37" s="175"/>
      <c r="D37" s="1281"/>
      <c r="E37" s="1281"/>
      <c r="F37" s="1281"/>
      <c r="G37" s="1281"/>
      <c r="H37" s="1281"/>
      <c r="I37" s="1281"/>
      <c r="J37" s="1281"/>
      <c r="K37" s="1281"/>
      <c r="L37" s="1280"/>
      <c r="M37" s="1271"/>
      <c r="N37" s="1271"/>
      <c r="O37" s="177"/>
    </row>
    <row r="38" spans="1:15">
      <c r="A38" s="96"/>
      <c r="B38" s="96"/>
      <c r="C38" s="175"/>
      <c r="D38" s="1281"/>
      <c r="E38" s="1281"/>
      <c r="F38" s="1281"/>
      <c r="G38" s="1281"/>
      <c r="H38" s="1281"/>
      <c r="I38" s="1281"/>
      <c r="J38" s="1281"/>
      <c r="K38" s="1281"/>
      <c r="L38" s="1280"/>
      <c r="M38" s="1271"/>
      <c r="N38" s="1271"/>
      <c r="O38" s="177"/>
    </row>
    <row r="39" spans="1:15">
      <c r="A39" s="96"/>
      <c r="B39" s="96"/>
      <c r="C39" s="175"/>
      <c r="D39" s="1281"/>
      <c r="E39" s="1281"/>
      <c r="F39" s="1281"/>
      <c r="G39" s="1281"/>
      <c r="H39" s="1281"/>
      <c r="I39" s="1281"/>
      <c r="J39" s="1281"/>
      <c r="K39" s="1281"/>
      <c r="L39" s="1280"/>
      <c r="M39" s="1271"/>
      <c r="N39" s="1271"/>
      <c r="O39" s="177"/>
    </row>
    <row r="40" spans="1:15">
      <c r="A40" s="96"/>
      <c r="B40" s="96"/>
      <c r="C40" s="175"/>
      <c r="D40" s="1281"/>
      <c r="E40" s="1281"/>
      <c r="F40" s="1281"/>
      <c r="G40" s="1281"/>
      <c r="H40" s="1281"/>
      <c r="I40" s="1281"/>
      <c r="J40" s="1281"/>
      <c r="K40" s="1281"/>
      <c r="L40" s="1280"/>
      <c r="M40" s="1279"/>
      <c r="N40" s="1279"/>
      <c r="O40" s="177"/>
    </row>
    <row r="41" spans="1:15">
      <c r="B41" s="96"/>
      <c r="C41" s="175"/>
    </row>
  </sheetData>
  <sheetProtection sheet="1" formatCells="0" formatColumns="0" formatRows="0"/>
  <mergeCells count="18">
    <mergeCell ref="N32:N33"/>
    <mergeCell ref="L32:L33"/>
    <mergeCell ref="J32:J33"/>
    <mergeCell ref="K32:K33"/>
    <mergeCell ref="B1:E1"/>
    <mergeCell ref="D5:E5"/>
    <mergeCell ref="F5:G5"/>
    <mergeCell ref="H5:I5"/>
    <mergeCell ref="H6:I6"/>
    <mergeCell ref="J5:K5"/>
    <mergeCell ref="J6:K6"/>
    <mergeCell ref="D6:E6"/>
    <mergeCell ref="F6:G6"/>
    <mergeCell ref="M32:M33"/>
    <mergeCell ref="H32:H33"/>
    <mergeCell ref="D32:D33"/>
    <mergeCell ref="E32:E33"/>
    <mergeCell ref="G32:G33"/>
  </mergeCells>
  <hyperlinks>
    <hyperlink ref="A9" location="Page5SelectExp" display="Select Object Codes Detail (1)" xr:uid="{00000000-0004-0000-0600-000000000000}"/>
    <hyperlink ref="J5:K6" location="AdjacentWays" display="ADJACENT WAYS" xr:uid="{00000000-0004-0000-0600-000001000000}"/>
    <hyperlink ref="A5" location="Page5SelectExp" display="Instructions" xr:uid="{00000000-0004-0000-0600-000002000000}"/>
  </hyperlinks>
  <printOptions horizontalCentered="1"/>
  <pageMargins left="0.25" right="0.25" top="0.25" bottom="0.25" header="0" footer="0.15"/>
  <pageSetup paperSize="5" orientation="landscape" r:id="rId1"/>
  <headerFooter alignWithMargins="0">
    <oddFooter>&amp;L&amp;"Times New Roman,Bold"&amp;9Rev. 5/26&amp;K000000 Arizona Department of Education and Auditor General&amp;C&amp;"Times New Roman,Regular"&amp;9&amp;D  &amp;T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ransitionEvaluation="1" transitionEntry="1" codeName="Sheet8">
    <pageSetUpPr fitToPage="1"/>
  </sheetPr>
  <dimension ref="A1:AB57"/>
  <sheetViews>
    <sheetView showGridLines="0" topLeftCell="B8" zoomScaleNormal="100" workbookViewId="0">
      <selection activeCell="T5" sqref="T5:T38"/>
    </sheetView>
  </sheetViews>
  <sheetFormatPr defaultColWidth="9.81640625" defaultRowHeight="15"/>
  <cols>
    <col min="1" max="1" width="3" customWidth="1"/>
    <col min="2" max="2" width="1" customWidth="1"/>
    <col min="4" max="4" width="28" customWidth="1"/>
    <col min="5" max="5" width="4.81640625" customWidth="1"/>
    <col min="6" max="6" width="7.81640625" customWidth="1"/>
    <col min="7" max="7" width="5.81640625" customWidth="1"/>
    <col min="8" max="8" width="2.81640625" customWidth="1"/>
    <col min="9" max="9" width="10.81640625" customWidth="1"/>
    <col min="10" max="10" width="11" customWidth="1"/>
    <col min="11" max="11" width="2.81640625" customWidth="1"/>
    <col min="12" max="12" width="4.81640625" customWidth="1"/>
    <col min="13" max="13" width="2.81640625" customWidth="1"/>
    <col min="14" max="14" width="1.81640625" customWidth="1"/>
    <col min="16" max="16" width="9.81640625" customWidth="1"/>
    <col min="17" max="17" width="8.453125" customWidth="1"/>
    <col min="18" max="18" width="4.81640625" customWidth="1"/>
    <col min="21" max="21" width="3" customWidth="1"/>
  </cols>
  <sheetData>
    <row r="1" spans="1:21" ht="15" customHeight="1">
      <c r="A1" s="138"/>
      <c r="B1" s="138"/>
      <c r="C1" s="1270" t="s">
        <v>140</v>
      </c>
      <c r="D1" s="1596" t="str">
        <f>DistrictName</f>
        <v>Pomerene Elementary School District</v>
      </c>
      <c r="E1" s="1596"/>
      <c r="F1" s="1596"/>
      <c r="H1" s="138"/>
      <c r="I1" s="1270" t="s">
        <v>1</v>
      </c>
      <c r="J1" s="1605" t="str">
        <f>Cover!H1</f>
        <v>Cochise</v>
      </c>
      <c r="K1" s="1606"/>
      <c r="L1" s="1606"/>
      <c r="M1" s="138"/>
      <c r="N1" s="138"/>
      <c r="O1" s="1270" t="s">
        <v>202</v>
      </c>
      <c r="P1" s="1669" t="str">
        <f>Cover!S1</f>
        <v>020364000</v>
      </c>
      <c r="Q1" s="1606"/>
      <c r="R1" s="138"/>
      <c r="S1" s="1270" t="s">
        <v>16</v>
      </c>
      <c r="T1" s="1267" t="str">
        <f>Cover!C8</f>
        <v>Proposed</v>
      </c>
      <c r="U1" s="138"/>
    </row>
    <row r="2" spans="1:21" ht="8.25" customHeight="1">
      <c r="A2" s="138"/>
      <c r="B2" s="138"/>
      <c r="C2" s="138"/>
      <c r="D2" s="138"/>
      <c r="E2" s="138"/>
      <c r="F2" s="138"/>
      <c r="G2" s="138"/>
      <c r="H2" s="138"/>
      <c r="I2" s="138"/>
      <c r="J2" s="138"/>
      <c r="K2" s="138"/>
      <c r="L2" s="138"/>
      <c r="M2" s="138"/>
      <c r="N2" s="138"/>
      <c r="O2" s="138"/>
      <c r="P2" s="138"/>
      <c r="Q2" s="138"/>
      <c r="R2" s="138"/>
      <c r="S2" s="138"/>
      <c r="T2" s="138"/>
      <c r="U2" s="138"/>
    </row>
    <row r="3" spans="1:21" ht="12" customHeight="1">
      <c r="B3" s="1128" t="s">
        <v>203</v>
      </c>
      <c r="C3" s="389"/>
      <c r="E3" s="389"/>
      <c r="F3" s="390" t="s">
        <v>42</v>
      </c>
      <c r="G3" s="1670"/>
      <c r="H3" s="1671"/>
      <c r="I3" s="391"/>
      <c r="J3" s="392"/>
      <c r="K3" s="393"/>
      <c r="L3" s="393"/>
      <c r="M3" s="116" t="s">
        <v>204</v>
      </c>
      <c r="N3" s="116"/>
      <c r="O3" s="116"/>
      <c r="P3" s="116"/>
      <c r="Q3" s="116"/>
      <c r="R3" s="116"/>
      <c r="U3" s="1"/>
    </row>
    <row r="4" spans="1:21" ht="12" customHeight="1">
      <c r="A4" s="394"/>
      <c r="B4" s="1677" t="s">
        <v>691</v>
      </c>
      <c r="C4" s="1678"/>
      <c r="D4" s="1678"/>
      <c r="E4" s="389"/>
      <c r="F4" s="395"/>
      <c r="G4" s="396"/>
      <c r="H4" s="397"/>
      <c r="I4" s="398"/>
      <c r="J4" s="399"/>
      <c r="K4" s="393"/>
      <c r="L4" s="393"/>
      <c r="S4" s="210" t="s">
        <v>129</v>
      </c>
      <c r="T4" s="210" t="s">
        <v>130</v>
      </c>
    </row>
    <row r="5" spans="1:21" ht="12" customHeight="1">
      <c r="A5" s="400"/>
      <c r="B5" s="400"/>
      <c r="C5" s="389"/>
      <c r="D5" s="389"/>
      <c r="E5" s="400"/>
      <c r="F5" s="1672" t="s">
        <v>80</v>
      </c>
      <c r="G5" s="1673"/>
      <c r="H5" s="1674"/>
      <c r="I5" s="1130" t="s">
        <v>205</v>
      </c>
      <c r="J5" s="1131"/>
      <c r="K5" s="393"/>
      <c r="L5" s="393"/>
      <c r="M5" s="401" t="s">
        <v>6</v>
      </c>
      <c r="N5" s="1271"/>
      <c r="O5" s="324" t="s">
        <v>206</v>
      </c>
      <c r="Q5" s="116"/>
      <c r="R5" s="96"/>
      <c r="S5" s="402">
        <f>[1]!F050BudgFY</f>
        <v>0</v>
      </c>
      <c r="T5" s="11"/>
      <c r="U5" s="404" t="s">
        <v>6</v>
      </c>
    </row>
    <row r="6" spans="1:21" ht="12" customHeight="1">
      <c r="A6" s="1129" t="s">
        <v>207</v>
      </c>
      <c r="B6" s="393"/>
      <c r="C6" s="405"/>
      <c r="D6" s="405"/>
      <c r="E6" s="405"/>
      <c r="F6" s="1363" t="s">
        <v>129</v>
      </c>
      <c r="G6" s="1675" t="s">
        <v>130</v>
      </c>
      <c r="H6" s="1676"/>
      <c r="I6" s="397" t="s">
        <v>129</v>
      </c>
      <c r="J6" s="1364" t="s">
        <v>130</v>
      </c>
      <c r="K6" s="393"/>
      <c r="L6" s="393"/>
      <c r="M6" s="406" t="s">
        <v>8</v>
      </c>
      <c r="N6" s="1271"/>
      <c r="O6" s="324" t="s">
        <v>208</v>
      </c>
      <c r="R6" s="96"/>
      <c r="S6" s="403">
        <f>F071CurrFY</f>
        <v>0</v>
      </c>
      <c r="T6" s="403">
        <f>F071BudgFY</f>
        <v>0</v>
      </c>
      <c r="U6" s="404" t="s">
        <v>8</v>
      </c>
    </row>
    <row r="7" spans="1:21" ht="12" customHeight="1">
      <c r="A7" s="401" t="s">
        <v>6</v>
      </c>
      <c r="B7" s="393"/>
      <c r="C7" s="1083" t="s">
        <v>1076</v>
      </c>
      <c r="D7" s="400"/>
      <c r="E7" s="401"/>
      <c r="F7" s="1365">
        <f>[1]!F100130Personnel</f>
        <v>2.75</v>
      </c>
      <c r="G7" s="1656">
        <v>2</v>
      </c>
      <c r="H7" s="1656"/>
      <c r="I7" s="1366">
        <f>[1]!F100130BudgFY</f>
        <v>92939</v>
      </c>
      <c r="J7" s="1075">
        <v>62760</v>
      </c>
      <c r="K7" s="404" t="s">
        <v>6</v>
      </c>
      <c r="L7" s="393"/>
      <c r="M7" s="406" t="s">
        <v>22</v>
      </c>
      <c r="N7" s="1271"/>
      <c r="O7" s="324" t="s">
        <v>209</v>
      </c>
      <c r="R7" s="96"/>
      <c r="S7" s="403">
        <f>F072CurrFY</f>
        <v>0</v>
      </c>
      <c r="T7" s="403">
        <f>F072BudgFY</f>
        <v>0</v>
      </c>
      <c r="U7" s="404" t="s">
        <v>22</v>
      </c>
    </row>
    <row r="8" spans="1:21" ht="12" customHeight="1">
      <c r="A8" s="401" t="s">
        <v>8</v>
      </c>
      <c r="B8" s="393"/>
      <c r="C8" s="1083" t="s">
        <v>1077</v>
      </c>
      <c r="D8" s="400"/>
      <c r="E8" s="401"/>
      <c r="F8" s="1365">
        <f>[1]!F140150Personnel</f>
        <v>0</v>
      </c>
      <c r="G8" s="1656"/>
      <c r="H8" s="1656"/>
      <c r="I8" s="1366">
        <f>[1]!F140150BudgFY</f>
        <v>10347</v>
      </c>
      <c r="J8" s="1075">
        <v>4049</v>
      </c>
      <c r="K8" s="404" t="s">
        <v>8</v>
      </c>
      <c r="L8" s="401"/>
      <c r="M8" s="407" t="s">
        <v>40</v>
      </c>
      <c r="N8" s="1271"/>
      <c r="O8" s="1084" t="s">
        <v>210</v>
      </c>
      <c r="R8" s="96"/>
      <c r="S8" s="403">
        <f>[1]!F500BudgFY</f>
        <v>4384</v>
      </c>
      <c r="T8" s="11">
        <v>7721</v>
      </c>
      <c r="U8" s="408" t="s">
        <v>40</v>
      </c>
    </row>
    <row r="9" spans="1:21" ht="12" customHeight="1">
      <c r="A9" s="401" t="s">
        <v>22</v>
      </c>
      <c r="B9" s="393"/>
      <c r="C9" s="1083" t="s">
        <v>1078</v>
      </c>
      <c r="D9" s="400"/>
      <c r="E9" s="401"/>
      <c r="F9" s="1365">
        <f>[1]!F160Personnel</f>
        <v>0</v>
      </c>
      <c r="G9" s="1656"/>
      <c r="H9" s="1656"/>
      <c r="I9" s="1366">
        <f>[1]!F160BudgFY</f>
        <v>0</v>
      </c>
      <c r="J9" s="1075"/>
      <c r="K9" s="404" t="s">
        <v>22</v>
      </c>
      <c r="L9" s="401"/>
      <c r="M9" s="409" t="s">
        <v>98</v>
      </c>
      <c r="N9" s="96"/>
      <c r="O9" s="324" t="s">
        <v>211</v>
      </c>
      <c r="P9" s="96"/>
      <c r="Q9" s="96"/>
      <c r="R9" s="401"/>
      <c r="S9" s="403">
        <v>70000</v>
      </c>
      <c r="T9" s="12">
        <v>68480</v>
      </c>
      <c r="U9" s="408" t="s">
        <v>98</v>
      </c>
    </row>
    <row r="10" spans="1:21" ht="12" customHeight="1">
      <c r="A10" s="401" t="s">
        <v>40</v>
      </c>
      <c r="B10" s="393"/>
      <c r="C10" s="1083" t="s">
        <v>1079</v>
      </c>
      <c r="D10" s="400"/>
      <c r="E10" s="401"/>
      <c r="F10" s="1365">
        <f>[1]!F170180Personnel</f>
        <v>0</v>
      </c>
      <c r="G10" s="1656"/>
      <c r="H10" s="1656"/>
      <c r="I10" s="1366">
        <f>[1]!F170180BudgFY</f>
        <v>0</v>
      </c>
      <c r="J10" s="1075"/>
      <c r="K10" s="404" t="s">
        <v>40</v>
      </c>
      <c r="L10" s="401"/>
      <c r="M10" s="409" t="s">
        <v>99</v>
      </c>
      <c r="N10" s="1271"/>
      <c r="O10" s="324" t="s">
        <v>212</v>
      </c>
      <c r="P10" s="96"/>
      <c r="Q10" s="96"/>
      <c r="R10" s="401"/>
      <c r="S10" s="403">
        <f>[1]!F515BudgFY</f>
        <v>0</v>
      </c>
      <c r="T10" s="12"/>
      <c r="U10" s="408" t="s">
        <v>99</v>
      </c>
    </row>
    <row r="11" spans="1:21" ht="12" customHeight="1">
      <c r="A11" s="401" t="s">
        <v>98</v>
      </c>
      <c r="B11" s="393"/>
      <c r="C11" s="1083" t="s">
        <v>1080</v>
      </c>
      <c r="D11" s="400"/>
      <c r="E11" s="401"/>
      <c r="F11" s="1365">
        <f>[1]!F190Personnel</f>
        <v>0</v>
      </c>
      <c r="G11" s="1656"/>
      <c r="H11" s="1656"/>
      <c r="I11" s="1366">
        <f>[1]!F190BudgFY</f>
        <v>0</v>
      </c>
      <c r="J11" s="1075"/>
      <c r="K11" s="404" t="s">
        <v>98</v>
      </c>
      <c r="L11" s="401"/>
      <c r="M11" s="409" t="s">
        <v>100</v>
      </c>
      <c r="N11" s="1271"/>
      <c r="O11" s="324" t="s">
        <v>213</v>
      </c>
      <c r="P11" s="96"/>
      <c r="Q11" s="96"/>
      <c r="R11" s="401"/>
      <c r="S11" s="403">
        <f>[1]!F520BudgFY</f>
        <v>0</v>
      </c>
      <c r="T11" s="11"/>
      <c r="U11" s="408" t="s">
        <v>100</v>
      </c>
    </row>
    <row r="12" spans="1:21" ht="12" customHeight="1">
      <c r="A12" s="401" t="s">
        <v>99</v>
      </c>
      <c r="B12" s="393"/>
      <c r="C12" s="1083" t="s">
        <v>1081</v>
      </c>
      <c r="D12" s="400"/>
      <c r="E12" s="401"/>
      <c r="F12" s="1365">
        <f>[1]!F200Personnel</f>
        <v>0</v>
      </c>
      <c r="G12" s="1656"/>
      <c r="H12" s="1656"/>
      <c r="I12" s="1366">
        <f>[1]!F200BudgFY</f>
        <v>0</v>
      </c>
      <c r="J12" s="1075"/>
      <c r="K12" s="404" t="s">
        <v>99</v>
      </c>
      <c r="L12" s="401"/>
      <c r="M12" s="409" t="s">
        <v>102</v>
      </c>
      <c r="N12" s="1271"/>
      <c r="O12" s="324" t="s">
        <v>214</v>
      </c>
      <c r="P12" s="96"/>
      <c r="Q12" s="96"/>
      <c r="R12" s="96"/>
      <c r="S12" s="403">
        <f>[1]!F525BudgFY</f>
        <v>885</v>
      </c>
      <c r="T12" s="12">
        <v>887</v>
      </c>
      <c r="U12" s="408" t="s">
        <v>102</v>
      </c>
    </row>
    <row r="13" spans="1:21" ht="12" customHeight="1">
      <c r="A13" s="401" t="s">
        <v>100</v>
      </c>
      <c r="B13" s="393"/>
      <c r="C13" s="1083" t="s">
        <v>1018</v>
      </c>
      <c r="D13" s="400"/>
      <c r="E13" s="401"/>
      <c r="F13" s="1365">
        <f>[1]!F210Personnel</f>
        <v>0</v>
      </c>
      <c r="G13" s="1656"/>
      <c r="H13" s="1656"/>
      <c r="I13" s="1366">
        <f>[1]!F210BudgFY</f>
        <v>0</v>
      </c>
      <c r="J13" s="1075"/>
      <c r="K13" s="404" t="s">
        <v>100</v>
      </c>
      <c r="L13" s="401"/>
      <c r="M13" s="409" t="s">
        <v>103</v>
      </c>
      <c r="N13" s="1271"/>
      <c r="O13" s="324" t="s">
        <v>215</v>
      </c>
      <c r="P13" s="96"/>
      <c r="Q13" s="96"/>
      <c r="R13" s="401"/>
      <c r="S13" s="403">
        <f>[1]!F526BudgFY</f>
        <v>10000</v>
      </c>
      <c r="T13" s="12">
        <v>7290</v>
      </c>
      <c r="U13" s="408" t="s">
        <v>103</v>
      </c>
    </row>
    <row r="14" spans="1:21" ht="12" customHeight="1">
      <c r="A14" s="401" t="s">
        <v>102</v>
      </c>
      <c r="B14" s="393"/>
      <c r="C14" s="1083" t="s">
        <v>1074</v>
      </c>
      <c r="D14" s="400"/>
      <c r="E14" s="401"/>
      <c r="F14" s="1365">
        <f>[1]!F220Personnel</f>
        <v>1</v>
      </c>
      <c r="G14" s="1656"/>
      <c r="H14" s="1656"/>
      <c r="I14" s="1366">
        <f>[1]!F220BudgFY</f>
        <v>23848</v>
      </c>
      <c r="J14" s="1075">
        <v>23103</v>
      </c>
      <c r="K14" s="404" t="s">
        <v>102</v>
      </c>
      <c r="L14" s="401"/>
      <c r="M14" s="409" t="s">
        <v>104</v>
      </c>
      <c r="N14" s="1271"/>
      <c r="O14" s="324" t="s">
        <v>216</v>
      </c>
      <c r="R14" s="401"/>
      <c r="S14" s="403">
        <f>[1]!F530BudgFY</f>
        <v>11623</v>
      </c>
      <c r="T14" s="12">
        <v>9600</v>
      </c>
      <c r="U14" s="408" t="s">
        <v>104</v>
      </c>
    </row>
    <row r="15" spans="1:21" ht="12" customHeight="1">
      <c r="A15" s="401" t="s">
        <v>103</v>
      </c>
      <c r="B15" s="393"/>
      <c r="C15" s="1083" t="s">
        <v>217</v>
      </c>
      <c r="D15" s="400"/>
      <c r="E15" s="401"/>
      <c r="F15" s="1365">
        <f>[1]!F230Personnel</f>
        <v>0</v>
      </c>
      <c r="G15" s="1656"/>
      <c r="H15" s="1656"/>
      <c r="I15" s="1366">
        <f>[1]!F230BudgFY</f>
        <v>0</v>
      </c>
      <c r="J15" s="1075"/>
      <c r="K15" s="404" t="s">
        <v>103</v>
      </c>
      <c r="L15" s="401"/>
      <c r="M15" s="409" t="s">
        <v>105</v>
      </c>
      <c r="N15" s="1271"/>
      <c r="O15" s="1085" t="s">
        <v>218</v>
      </c>
      <c r="P15" s="96"/>
      <c r="Q15" s="96"/>
      <c r="R15" s="401"/>
      <c r="S15" s="403">
        <f>[1]!F535BudgFY</f>
        <v>0</v>
      </c>
      <c r="T15" s="11"/>
      <c r="U15" s="408" t="s">
        <v>105</v>
      </c>
    </row>
    <row r="16" spans="1:21" ht="12" customHeight="1">
      <c r="A16" s="401" t="s">
        <v>104</v>
      </c>
      <c r="B16" s="393"/>
      <c r="C16" s="1083" t="s">
        <v>1075</v>
      </c>
      <c r="D16" s="400"/>
      <c r="E16" s="401"/>
      <c r="F16" s="1365">
        <f>[1]!F240Personnel</f>
        <v>0</v>
      </c>
      <c r="G16" s="1656"/>
      <c r="H16" s="1656"/>
      <c r="I16" s="1366">
        <f>[1]!F240BudgFY</f>
        <v>0</v>
      </c>
      <c r="J16" s="1075"/>
      <c r="K16" s="404" t="s">
        <v>104</v>
      </c>
      <c r="L16" s="401"/>
      <c r="M16" s="409" t="s">
        <v>106</v>
      </c>
      <c r="N16" s="1271"/>
      <c r="O16" s="177" t="s">
        <v>219</v>
      </c>
      <c r="P16" s="96"/>
      <c r="Q16" s="96"/>
      <c r="R16" s="401"/>
      <c r="S16" s="403">
        <f>[1]!F540BudgFY</f>
        <v>100</v>
      </c>
      <c r="T16" s="11">
        <v>200</v>
      </c>
      <c r="U16" s="408" t="s">
        <v>106</v>
      </c>
    </row>
    <row r="17" spans="1:21" ht="12" customHeight="1">
      <c r="A17" s="401" t="s">
        <v>105</v>
      </c>
      <c r="B17" s="393"/>
      <c r="C17" s="1083" t="s">
        <v>220</v>
      </c>
      <c r="D17" s="400"/>
      <c r="E17" s="401"/>
      <c r="F17" s="1365">
        <f>[1]!F250Personnel</f>
        <v>0</v>
      </c>
      <c r="G17" s="1656"/>
      <c r="H17" s="1656"/>
      <c r="I17" s="1366">
        <f>[1]!F250BudgFY</f>
        <v>0</v>
      </c>
      <c r="J17" s="1075"/>
      <c r="K17" s="404" t="s">
        <v>105</v>
      </c>
      <c r="L17" s="401"/>
      <c r="M17" s="409" t="s">
        <v>107</v>
      </c>
      <c r="N17" s="1271"/>
      <c r="O17" s="177" t="s">
        <v>221</v>
      </c>
      <c r="P17" s="96"/>
      <c r="Q17" s="96"/>
      <c r="R17" s="401"/>
      <c r="S17" s="403">
        <f>[1]!F545BudgFY</f>
        <v>0</v>
      </c>
      <c r="T17" s="12"/>
      <c r="U17" s="408" t="s">
        <v>107</v>
      </c>
    </row>
    <row r="18" spans="1:21" ht="12" customHeight="1">
      <c r="A18" s="401" t="s">
        <v>106</v>
      </c>
      <c r="B18" s="393"/>
      <c r="C18" s="1083" t="s">
        <v>222</v>
      </c>
      <c r="D18" s="400"/>
      <c r="E18" s="401"/>
      <c r="F18" s="1365">
        <f>[1]!F260270Personnel</f>
        <v>0</v>
      </c>
      <c r="G18" s="1656"/>
      <c r="H18" s="1656"/>
      <c r="I18" s="1366">
        <f>[1]!F260270BudgFY</f>
        <v>0</v>
      </c>
      <c r="J18" s="1075"/>
      <c r="K18" s="404" t="s">
        <v>106</v>
      </c>
      <c r="L18" s="401"/>
      <c r="M18" s="409" t="s">
        <v>108</v>
      </c>
      <c r="N18" s="1271"/>
      <c r="O18" s="324" t="s">
        <v>223</v>
      </c>
      <c r="P18" s="96"/>
      <c r="Q18" s="96"/>
      <c r="R18" s="401"/>
      <c r="S18" s="403">
        <f>[1]!F550BudgFY</f>
        <v>22273</v>
      </c>
      <c r="T18" s="11">
        <v>22274</v>
      </c>
      <c r="U18" s="408" t="s">
        <v>108</v>
      </c>
    </row>
    <row r="19" spans="1:21" ht="12" customHeight="1">
      <c r="A19" s="401" t="s">
        <v>107</v>
      </c>
      <c r="B19" s="393"/>
      <c r="C19" s="1083" t="s">
        <v>224</v>
      </c>
      <c r="D19" s="400"/>
      <c r="E19" s="401"/>
      <c r="F19" s="1365">
        <f>[1]!F280Personnel</f>
        <v>0</v>
      </c>
      <c r="G19" s="1656"/>
      <c r="H19" s="1656"/>
      <c r="I19" s="1366">
        <f>[1]!F280BudgFY</f>
        <v>0</v>
      </c>
      <c r="J19" s="1075"/>
      <c r="K19" s="413" t="s">
        <v>107</v>
      </c>
      <c r="L19" s="401"/>
      <c r="M19" s="409" t="s">
        <v>109</v>
      </c>
      <c r="N19" s="1271"/>
      <c r="O19" s="324" t="s">
        <v>225</v>
      </c>
      <c r="P19" s="96"/>
      <c r="Q19" s="96"/>
      <c r="R19" s="401"/>
      <c r="S19" s="403">
        <f>[1]!F555BudgFY</f>
        <v>0</v>
      </c>
      <c r="T19" s="12"/>
      <c r="U19" s="408" t="s">
        <v>109</v>
      </c>
    </row>
    <row r="20" spans="1:21" ht="12" customHeight="1">
      <c r="A20" s="401" t="s">
        <v>108</v>
      </c>
      <c r="B20" s="393"/>
      <c r="C20" s="1083" t="s">
        <v>226</v>
      </c>
      <c r="D20" s="400"/>
      <c r="E20" s="401"/>
      <c r="F20" s="1365">
        <f>[1]!F290Personnel</f>
        <v>0</v>
      </c>
      <c r="G20" s="1656"/>
      <c r="H20" s="1656"/>
      <c r="I20" s="1366">
        <f>[1]!F290BudgFY</f>
        <v>0</v>
      </c>
      <c r="J20" s="1075"/>
      <c r="K20" s="413" t="s">
        <v>108</v>
      </c>
      <c r="L20" s="401"/>
      <c r="M20" s="409" t="s">
        <v>110</v>
      </c>
      <c r="N20" s="1271"/>
      <c r="O20" s="324" t="s">
        <v>227</v>
      </c>
      <c r="P20" s="96"/>
      <c r="Q20" s="96"/>
      <c r="R20" s="401"/>
      <c r="S20" s="403">
        <f>[1]!F565BudgFY</f>
        <v>0</v>
      </c>
      <c r="T20" s="12"/>
      <c r="U20" s="408" t="s">
        <v>110</v>
      </c>
    </row>
    <row r="21" spans="1:21" ht="12" customHeight="1">
      <c r="A21" s="1257" t="s">
        <v>109</v>
      </c>
      <c r="B21" s="393"/>
      <c r="C21" s="1353" t="s">
        <v>228</v>
      </c>
      <c r="F21" s="1365">
        <f>[1]!F349Personnel</f>
        <v>0</v>
      </c>
      <c r="G21" s="1656"/>
      <c r="H21" s="1656"/>
      <c r="I21" s="1366">
        <f>[1]!F349BudFY</f>
        <v>0</v>
      </c>
      <c r="J21" s="1075"/>
      <c r="K21" s="421" t="s">
        <v>109</v>
      </c>
      <c r="L21" s="401"/>
      <c r="M21" s="409" t="s">
        <v>111</v>
      </c>
      <c r="N21" s="410"/>
      <c r="O21" s="324" t="s">
        <v>229</v>
      </c>
      <c r="P21" s="96"/>
      <c r="Q21" s="96"/>
      <c r="R21" s="401"/>
      <c r="S21" s="403">
        <f>[1]!F570BudgFY</f>
        <v>0</v>
      </c>
      <c r="T21" s="12"/>
      <c r="U21" s="408" t="s">
        <v>111</v>
      </c>
    </row>
    <row r="22" spans="1:21" ht="12" customHeight="1">
      <c r="A22" s="1258" t="s">
        <v>110</v>
      </c>
      <c r="B22" s="393"/>
      <c r="C22" s="1353" t="s">
        <v>230</v>
      </c>
      <c r="F22" s="1365">
        <f>[1]!F353Personnel</f>
        <v>0</v>
      </c>
      <c r="G22" s="1656"/>
      <c r="H22" s="1656"/>
      <c r="I22" s="1366">
        <f>[1]!F353BudgFY</f>
        <v>0</v>
      </c>
      <c r="J22" s="1075"/>
      <c r="K22" s="421" t="s">
        <v>110</v>
      </c>
      <c r="L22" s="401"/>
      <c r="M22" s="409" t="s">
        <v>112</v>
      </c>
      <c r="N22" s="1271"/>
      <c r="O22" s="324" t="s">
        <v>231</v>
      </c>
      <c r="P22" s="96"/>
      <c r="Q22" s="96"/>
      <c r="R22" s="401"/>
      <c r="S22" s="403">
        <f>[1]!F575BudgFY</f>
        <v>0</v>
      </c>
      <c r="T22" s="12"/>
      <c r="U22" s="408" t="s">
        <v>112</v>
      </c>
    </row>
    <row r="23" spans="1:21" ht="12" customHeight="1">
      <c r="A23" s="1257" t="s">
        <v>111</v>
      </c>
      <c r="B23" s="393" t="s">
        <v>42</v>
      </c>
      <c r="C23" s="1085" t="s">
        <v>232</v>
      </c>
      <c r="D23" s="400"/>
      <c r="F23" s="1365">
        <f>[1]!F374Personnel</f>
        <v>0</v>
      </c>
      <c r="G23" s="1656"/>
      <c r="H23" s="1656"/>
      <c r="I23" s="1366">
        <f>[1]!F374BudgFY</f>
        <v>0</v>
      </c>
      <c r="J23" s="1075"/>
      <c r="K23" s="421" t="s">
        <v>111</v>
      </c>
      <c r="L23" s="401"/>
      <c r="M23" s="120" t="s">
        <v>113</v>
      </c>
      <c r="N23" s="1271"/>
      <c r="O23" s="324" t="s">
        <v>233</v>
      </c>
      <c r="P23" s="96"/>
      <c r="Q23" s="96"/>
      <c r="R23" s="401"/>
      <c r="S23" s="403">
        <f>[1]!F580BudgFY</f>
        <v>0</v>
      </c>
      <c r="T23" s="11"/>
      <c r="U23" s="411" t="s">
        <v>113</v>
      </c>
    </row>
    <row r="24" spans="1:21" ht="12" customHeight="1">
      <c r="A24" s="407" t="s">
        <v>112</v>
      </c>
      <c r="B24" s="393"/>
      <c r="C24" s="1085" t="s">
        <v>234</v>
      </c>
      <c r="D24" s="400"/>
      <c r="E24" s="401"/>
      <c r="F24" s="1365">
        <f>[1]!F378Personnel</f>
        <v>0</v>
      </c>
      <c r="G24" s="1656"/>
      <c r="H24" s="1656"/>
      <c r="I24" s="1366">
        <f>[1]!F378BudgFY</f>
        <v>0</v>
      </c>
      <c r="J24" s="1075"/>
      <c r="K24" s="421" t="s">
        <v>112</v>
      </c>
      <c r="L24" s="1271"/>
      <c r="M24" s="1271" t="s">
        <v>114</v>
      </c>
      <c r="N24" s="1271"/>
      <c r="O24" s="324" t="s">
        <v>235</v>
      </c>
      <c r="P24" s="96"/>
      <c r="Q24" s="96"/>
      <c r="R24" s="401"/>
      <c r="S24" s="403">
        <f>[1]!F585BudgFY</f>
        <v>0</v>
      </c>
      <c r="T24" s="12"/>
      <c r="U24" s="1" t="s">
        <v>114</v>
      </c>
    </row>
    <row r="25" spans="1:21" ht="12" customHeight="1">
      <c r="A25" s="407" t="s">
        <v>113</v>
      </c>
      <c r="B25" s="400"/>
      <c r="C25" s="1353" t="s">
        <v>1082</v>
      </c>
      <c r="D25" s="400"/>
      <c r="E25" s="401"/>
      <c r="F25" s="1365">
        <f>[1]!F300399OtherPersonnel</f>
        <v>0</v>
      </c>
      <c r="G25" s="1656"/>
      <c r="H25" s="1656"/>
      <c r="I25" s="1366">
        <f>[1]!F300399OtherBudgFY</f>
        <v>11834</v>
      </c>
      <c r="J25" s="1075">
        <v>13090</v>
      </c>
      <c r="K25" s="421" t="s">
        <v>113</v>
      </c>
      <c r="L25" s="1271"/>
      <c r="M25" s="1271" t="s">
        <v>115</v>
      </c>
      <c r="N25" s="410"/>
      <c r="O25" s="177" t="s">
        <v>236</v>
      </c>
      <c r="P25" s="96"/>
      <c r="Q25" s="96"/>
      <c r="R25" s="401"/>
      <c r="S25" s="403">
        <f>[1]!F590BudgFY</f>
        <v>570</v>
      </c>
      <c r="T25" s="12">
        <v>570</v>
      </c>
      <c r="U25" s="1" t="s">
        <v>115</v>
      </c>
    </row>
    <row r="26" spans="1:21" ht="12" customHeight="1">
      <c r="A26" s="1257" t="s">
        <v>114</v>
      </c>
      <c r="B26" s="393"/>
      <c r="C26" s="1353" t="s">
        <v>1083</v>
      </c>
      <c r="F26" s="1365">
        <f>[1]!F699Personnel</f>
        <v>0</v>
      </c>
      <c r="G26" s="1656"/>
      <c r="H26" s="1656"/>
      <c r="I26" s="1366">
        <f>[1]!F699BudgFY</f>
        <v>0</v>
      </c>
      <c r="J26" s="1075"/>
      <c r="K26" s="413" t="s">
        <v>114</v>
      </c>
      <c r="L26" s="401"/>
      <c r="M26" s="1271" t="s">
        <v>116</v>
      </c>
      <c r="N26" s="410"/>
      <c r="O26" s="324" t="s">
        <v>237</v>
      </c>
      <c r="R26" s="96"/>
      <c r="S26" s="325">
        <f>[1]!F595BudgFY</f>
        <v>0</v>
      </c>
      <c r="T26" s="73"/>
      <c r="U26" s="1" t="s">
        <v>116</v>
      </c>
    </row>
    <row r="27" spans="1:21" ht="12" customHeight="1" thickBot="1">
      <c r="A27" s="1257" t="s">
        <v>115</v>
      </c>
      <c r="B27" s="393"/>
      <c r="C27" s="1085" t="s">
        <v>1087</v>
      </c>
      <c r="D27" s="400"/>
      <c r="E27" s="400"/>
      <c r="F27" s="1336">
        <f>SUM(F7:F26)</f>
        <v>3.75</v>
      </c>
      <c r="G27" s="1667">
        <f>SUM(G7:H26)</f>
        <v>2</v>
      </c>
      <c r="H27" s="1668"/>
      <c r="I27" s="1337">
        <f>SUM(I7:I26)</f>
        <v>138968</v>
      </c>
      <c r="J27" s="1337">
        <f>SUM(J7:J26)</f>
        <v>103002</v>
      </c>
      <c r="K27" s="413" t="s">
        <v>115</v>
      </c>
      <c r="L27" s="401"/>
      <c r="M27" s="1271" t="s">
        <v>117</v>
      </c>
      <c r="N27" s="410"/>
      <c r="O27" s="324" t="s">
        <v>238</v>
      </c>
      <c r="R27" s="96"/>
      <c r="S27" s="329">
        <f>[1]!F596BudgFY</f>
        <v>0</v>
      </c>
      <c r="T27" s="11"/>
      <c r="U27" s="1" t="s">
        <v>117</v>
      </c>
    </row>
    <row r="28" spans="1:21" ht="12" customHeight="1" thickTop="1">
      <c r="A28" s="405" t="s">
        <v>239</v>
      </c>
      <c r="B28" s="393"/>
      <c r="C28" s="1132"/>
      <c r="F28" s="1275"/>
      <c r="G28" s="1105"/>
      <c r="H28" s="1106"/>
      <c r="I28" s="1275"/>
      <c r="J28" s="1107"/>
      <c r="K28" s="1256"/>
      <c r="L28" s="401"/>
      <c r="M28" s="407" t="s">
        <v>119</v>
      </c>
      <c r="N28" s="410"/>
      <c r="O28" s="1085" t="s">
        <v>240</v>
      </c>
      <c r="R28" s="199"/>
      <c r="S28" s="403">
        <f>[1]!F597BudgFY</f>
        <v>0</v>
      </c>
      <c r="T28" s="34"/>
      <c r="U28" s="413">
        <v>24</v>
      </c>
    </row>
    <row r="29" spans="1:21" ht="12" customHeight="1">
      <c r="A29" s="191" t="s">
        <v>116</v>
      </c>
      <c r="B29" s="393"/>
      <c r="C29" s="1083" t="s">
        <v>1084</v>
      </c>
      <c r="D29" s="400"/>
      <c r="F29" s="1367">
        <f>[1]!F400Personnel</f>
        <v>0</v>
      </c>
      <c r="G29" s="1665"/>
      <c r="H29" s="1666"/>
      <c r="I29" s="1107">
        <f>[1]!F400BudgFY</f>
        <v>0</v>
      </c>
      <c r="J29" s="1368"/>
      <c r="K29" s="413" t="s">
        <v>116</v>
      </c>
      <c r="L29" s="401"/>
      <c r="M29" s="414" t="s">
        <v>120</v>
      </c>
      <c r="N29" s="96"/>
      <c r="O29" s="177" t="s">
        <v>241</v>
      </c>
      <c r="P29" s="1"/>
      <c r="Q29" s="1"/>
      <c r="R29" s="401"/>
      <c r="S29" s="331">
        <f>[1]!F639BudgFY</f>
        <v>0</v>
      </c>
      <c r="T29" s="11"/>
      <c r="U29" s="415" t="s">
        <v>120</v>
      </c>
    </row>
    <row r="30" spans="1:21" ht="12" customHeight="1">
      <c r="A30" s="191" t="s">
        <v>117</v>
      </c>
      <c r="B30" s="393"/>
      <c r="C30" s="1083" t="s">
        <v>242</v>
      </c>
      <c r="D30" s="400"/>
      <c r="F30" s="1365">
        <f>[1]!F410Personnel</f>
        <v>0</v>
      </c>
      <c r="G30" s="1656"/>
      <c r="H30" s="1656"/>
      <c r="I30" s="1366">
        <f>[1]!F410BudgFY</f>
        <v>0</v>
      </c>
      <c r="J30" s="1075"/>
      <c r="K30" s="413" t="s">
        <v>117</v>
      </c>
      <c r="L30" s="401"/>
      <c r="M30" s="414" t="s">
        <v>122</v>
      </c>
      <c r="O30" s="177" t="s">
        <v>243</v>
      </c>
      <c r="P30" s="1"/>
      <c r="Q30" s="1"/>
      <c r="R30" s="401"/>
      <c r="S30" s="403">
        <f>[1]!F650BudgFY</f>
        <v>0</v>
      </c>
      <c r="T30" s="11"/>
      <c r="U30" s="415" t="s">
        <v>122</v>
      </c>
    </row>
    <row r="31" spans="1:21" ht="12" customHeight="1">
      <c r="A31" s="414" t="s">
        <v>119</v>
      </c>
      <c r="B31" s="1252"/>
      <c r="C31" s="1083" t="s">
        <v>1085</v>
      </c>
      <c r="D31" s="400"/>
      <c r="F31" s="1365">
        <f>[1]!F420Personnel</f>
        <v>0</v>
      </c>
      <c r="G31" s="1656"/>
      <c r="H31" s="1656"/>
      <c r="I31" s="1366">
        <f>[1]!F420BudgFY</f>
        <v>0</v>
      </c>
      <c r="J31" s="1075"/>
      <c r="K31" s="415" t="s">
        <v>119</v>
      </c>
      <c r="L31" s="401"/>
      <c r="M31" s="414" t="s">
        <v>123</v>
      </c>
      <c r="N31" s="96"/>
      <c r="O31" s="177" t="s">
        <v>244</v>
      </c>
      <c r="P31" s="96"/>
      <c r="Q31" s="96"/>
      <c r="R31" s="96"/>
      <c r="S31" s="403">
        <f>[1]!F660BudgFY</f>
        <v>0</v>
      </c>
      <c r="T31" s="11"/>
      <c r="U31" s="415" t="s">
        <v>123</v>
      </c>
    </row>
    <row r="32" spans="1:21" ht="12" customHeight="1">
      <c r="A32" s="414" t="s">
        <v>120</v>
      </c>
      <c r="B32" s="1252"/>
      <c r="C32" s="423" t="s">
        <v>1086</v>
      </c>
      <c r="D32" s="400"/>
      <c r="F32" s="1365">
        <f>[1]!F425Personnel</f>
        <v>0</v>
      </c>
      <c r="G32" s="1656"/>
      <c r="H32" s="1656"/>
      <c r="I32" s="1366">
        <f>[1]!F425BudgFY</f>
        <v>0</v>
      </c>
      <c r="J32" s="1075"/>
      <c r="K32" s="415" t="s">
        <v>120</v>
      </c>
      <c r="L32" s="401"/>
      <c r="M32" s="414" t="s">
        <v>124</v>
      </c>
      <c r="N32" s="410"/>
      <c r="O32" s="177" t="s">
        <v>245</v>
      </c>
      <c r="P32" s="96"/>
      <c r="Q32" s="96"/>
      <c r="R32" s="96"/>
      <c r="S32" s="403">
        <f>[1]!F665BudgFY</f>
        <v>0</v>
      </c>
      <c r="T32" s="11"/>
      <c r="U32" s="415" t="s">
        <v>124</v>
      </c>
    </row>
    <row r="33" spans="1:21" ht="12" customHeight="1">
      <c r="A33" s="175" t="s">
        <v>122</v>
      </c>
      <c r="B33" s="1252"/>
      <c r="C33" s="1083" t="s">
        <v>1090</v>
      </c>
      <c r="D33" s="400"/>
      <c r="F33" s="1365">
        <f>[1]!F430Personnel</f>
        <v>0</v>
      </c>
      <c r="G33" s="1656"/>
      <c r="H33" s="1656"/>
      <c r="I33" s="1366">
        <f>[1]!F430BudgFY</f>
        <v>0</v>
      </c>
      <c r="J33" s="1075"/>
      <c r="K33" s="416" t="s">
        <v>122</v>
      </c>
      <c r="L33" s="1271"/>
      <c r="M33" s="407" t="s">
        <v>125</v>
      </c>
      <c r="N33" s="96"/>
      <c r="O33" s="177" t="s">
        <v>246</v>
      </c>
      <c r="R33" s="96"/>
      <c r="S33" s="403">
        <f>[1]!F686BudgFY</f>
        <v>0</v>
      </c>
      <c r="T33" s="11"/>
      <c r="U33" s="416" t="s">
        <v>125</v>
      </c>
    </row>
    <row r="34" spans="1:21" ht="12" customHeight="1">
      <c r="A34" s="414" t="s">
        <v>123</v>
      </c>
      <c r="B34" s="1252"/>
      <c r="C34" s="1083" t="s">
        <v>1089</v>
      </c>
      <c r="D34" s="400"/>
      <c r="F34" s="1365">
        <f>[1]!F435Personnel</f>
        <v>0</v>
      </c>
      <c r="G34" s="1656"/>
      <c r="H34" s="1656"/>
      <c r="I34" s="1366">
        <f>[1]!F435BudgFY</f>
        <v>0</v>
      </c>
      <c r="J34" s="1075"/>
      <c r="K34" s="416" t="s">
        <v>123</v>
      </c>
      <c r="L34" s="401"/>
      <c r="M34" s="417" t="s">
        <v>126</v>
      </c>
      <c r="N34" s="96"/>
      <c r="O34" s="177" t="s">
        <v>247</v>
      </c>
      <c r="R34" s="96"/>
      <c r="S34" s="403">
        <f>[1]!F691BudgFY</f>
        <v>18748</v>
      </c>
      <c r="T34" s="11"/>
      <c r="U34" s="416" t="s">
        <v>126</v>
      </c>
    </row>
    <row r="35" spans="1:21" ht="12" customHeight="1">
      <c r="A35" s="414" t="s">
        <v>124</v>
      </c>
      <c r="B35" s="1252"/>
      <c r="C35" s="1083" t="s">
        <v>1088</v>
      </c>
      <c r="D35" s="400"/>
      <c r="F35" s="1365">
        <f>[1]!F450Personnel</f>
        <v>0</v>
      </c>
      <c r="G35" s="1656"/>
      <c r="H35" s="1656"/>
      <c r="I35" s="1366">
        <f>[1]!F450BudgFY</f>
        <v>0</v>
      </c>
      <c r="J35" s="1075"/>
      <c r="K35" s="416" t="s">
        <v>124</v>
      </c>
      <c r="L35" s="1271"/>
      <c r="M35" s="418" t="s">
        <v>248</v>
      </c>
      <c r="O35" s="177" t="s">
        <v>249</v>
      </c>
      <c r="R35" s="96"/>
      <c r="S35" s="403">
        <f>[1]!F700BudgFY</f>
        <v>0</v>
      </c>
      <c r="T35" s="11"/>
      <c r="U35" s="416" t="s">
        <v>248</v>
      </c>
    </row>
    <row r="36" spans="1:21" ht="12" customHeight="1">
      <c r="A36" s="1259" t="s">
        <v>125</v>
      </c>
      <c r="B36" s="1252"/>
      <c r="C36" s="1253" t="s">
        <v>1091</v>
      </c>
      <c r="D36" s="1254"/>
      <c r="F36" s="1365">
        <f t="array" ref="F36">[1]!F456Personnel</f>
        <v>0</v>
      </c>
      <c r="G36" s="1656"/>
      <c r="H36" s="1656"/>
      <c r="I36" s="1366">
        <f t="array" ref="I36">[1]!F456BudgFY</f>
        <v>0</v>
      </c>
      <c r="J36" s="1075"/>
      <c r="K36" s="416" t="s">
        <v>125</v>
      </c>
      <c r="L36" s="401"/>
      <c r="M36" s="414" t="s">
        <v>250</v>
      </c>
      <c r="N36" s="410"/>
      <c r="O36" s="177" t="s">
        <v>251</v>
      </c>
      <c r="R36" s="96"/>
      <c r="S36" s="403">
        <f>[1]!F720BudgFY</f>
        <v>0</v>
      </c>
      <c r="T36" s="11"/>
      <c r="U36" s="415" t="s">
        <v>250</v>
      </c>
    </row>
    <row r="37" spans="1:21" ht="12" customHeight="1">
      <c r="A37" s="418" t="s">
        <v>126</v>
      </c>
      <c r="B37" s="1252"/>
      <c r="C37" s="1255" t="s">
        <v>252</v>
      </c>
      <c r="D37" s="1256"/>
      <c r="F37" s="1365">
        <f>[1]!F460Personnel</f>
        <v>0</v>
      </c>
      <c r="G37" s="1656"/>
      <c r="H37" s="1656"/>
      <c r="I37" s="1366">
        <f>[1]!F460BudgFY</f>
        <v>0</v>
      </c>
      <c r="J37" s="1075"/>
      <c r="K37" s="416" t="s">
        <v>126</v>
      </c>
      <c r="L37" s="401"/>
      <c r="M37" s="414" t="s">
        <v>253</v>
      </c>
      <c r="N37" s="410"/>
      <c r="O37" s="177" t="s">
        <v>254</v>
      </c>
      <c r="P37" s="1489"/>
      <c r="Q37" s="1489"/>
      <c r="R37" s="1490"/>
      <c r="S37" s="1511">
        <f>[1]!F850BudgFY</f>
        <v>4175</v>
      </c>
      <c r="T37" s="1529">
        <v>4000</v>
      </c>
      <c r="U37" s="421" t="s">
        <v>253</v>
      </c>
    </row>
    <row r="38" spans="1:21" ht="12" customHeight="1" thickBot="1">
      <c r="A38" s="1259" t="s">
        <v>248</v>
      </c>
      <c r="B38" s="1252"/>
      <c r="C38" s="1085" t="s">
        <v>1092</v>
      </c>
      <c r="D38" s="1254"/>
      <c r="E38" s="400"/>
      <c r="F38" s="1369">
        <f>[1]!F465499Personnel</f>
        <v>0</v>
      </c>
      <c r="G38" s="1663"/>
      <c r="H38" s="1664"/>
      <c r="I38" s="1370">
        <f>[1]!F465499BudgFY</f>
        <v>0</v>
      </c>
      <c r="J38" s="10"/>
      <c r="K38" s="416" t="s">
        <v>248</v>
      </c>
      <c r="L38" s="401"/>
      <c r="M38" s="417" t="s">
        <v>255</v>
      </c>
      <c r="N38" s="410"/>
      <c r="O38" s="177" t="s">
        <v>1405</v>
      </c>
      <c r="P38" s="1489"/>
      <c r="Q38" s="1489"/>
      <c r="R38" s="1490"/>
      <c r="S38" s="1511">
        <f>[1]!OtherFundsBudgFY</f>
        <v>0</v>
      </c>
      <c r="T38" s="1529">
        <v>0</v>
      </c>
      <c r="U38" s="421" t="s">
        <v>255</v>
      </c>
    </row>
    <row r="39" spans="1:21" ht="12" customHeight="1" thickBot="1">
      <c r="A39" s="418" t="s">
        <v>250</v>
      </c>
      <c r="B39" s="1256"/>
      <c r="C39" s="1085" t="s">
        <v>1093</v>
      </c>
      <c r="D39" s="199"/>
      <c r="F39" s="419">
        <f>SUM(F29:F38)</f>
        <v>0</v>
      </c>
      <c r="G39" s="1661">
        <f>SUM(G29:H38)</f>
        <v>0</v>
      </c>
      <c r="H39" s="1662"/>
      <c r="I39" s="412">
        <f>SUM(I29:I38)</f>
        <v>0</v>
      </c>
      <c r="J39" s="412">
        <f>SUM(J29:J38)</f>
        <v>0</v>
      </c>
      <c r="K39" s="416" t="s">
        <v>250</v>
      </c>
      <c r="L39" s="401"/>
      <c r="O39" s="116" t="s">
        <v>256</v>
      </c>
      <c r="P39" s="96"/>
      <c r="Q39" s="96"/>
      <c r="R39" s="96"/>
      <c r="S39" s="96"/>
      <c r="T39" s="96"/>
    </row>
    <row r="40" spans="1:21" ht="12" customHeight="1" thickTop="1" thickBot="1">
      <c r="A40" s="418" t="s">
        <v>253</v>
      </c>
      <c r="B40" s="1256"/>
      <c r="C40" s="1085" t="s">
        <v>1094</v>
      </c>
      <c r="D40" s="199"/>
      <c r="F40" s="419">
        <f>F27+F39</f>
        <v>3.75</v>
      </c>
      <c r="G40" s="1661">
        <f>G27+G39</f>
        <v>2</v>
      </c>
      <c r="H40" s="1662"/>
      <c r="I40" s="420">
        <f>I27+I39</f>
        <v>138968</v>
      </c>
      <c r="J40" s="412">
        <f>J27+J39</f>
        <v>103002</v>
      </c>
      <c r="K40" s="416" t="s">
        <v>253</v>
      </c>
      <c r="L40" s="96"/>
      <c r="M40" s="1271" t="s">
        <v>6</v>
      </c>
      <c r="O40" s="19" t="s">
        <v>257</v>
      </c>
      <c r="P40" s="96"/>
      <c r="Q40" s="96"/>
      <c r="R40" s="96"/>
      <c r="S40" s="403">
        <f>[1]!F9__SelfInsBudgFY</f>
        <v>0</v>
      </c>
      <c r="T40" s="11"/>
      <c r="U40" s="411" t="s">
        <v>6</v>
      </c>
    </row>
    <row r="41" spans="1:21" ht="12" customHeight="1" thickTop="1">
      <c r="K41" s="1256"/>
      <c r="L41" s="96"/>
      <c r="M41" s="406" t="s">
        <v>8</v>
      </c>
      <c r="O41" s="1" t="s">
        <v>258</v>
      </c>
      <c r="P41" s="96"/>
      <c r="Q41" s="96"/>
      <c r="R41" s="401"/>
      <c r="S41" s="403">
        <f>[1]!F955BudgFY</f>
        <v>0</v>
      </c>
      <c r="T41" s="12"/>
      <c r="U41" s="184" t="s">
        <v>8</v>
      </c>
    </row>
    <row r="42" spans="1:21" ht="12" customHeight="1">
      <c r="A42" s="1657" t="s">
        <v>1095</v>
      </c>
      <c r="B42" s="1658"/>
      <c r="C42" s="1658"/>
      <c r="D42" s="1658"/>
      <c r="E42" s="1658"/>
      <c r="I42" s="1069" t="s">
        <v>129</v>
      </c>
      <c r="J42" s="1283" t="s">
        <v>130</v>
      </c>
      <c r="K42" s="1256"/>
      <c r="L42" s="96"/>
      <c r="M42" s="120" t="s">
        <v>22</v>
      </c>
      <c r="O42" s="14" t="s">
        <v>259</v>
      </c>
      <c r="P42" s="96"/>
      <c r="Q42" s="96"/>
      <c r="R42" s="96"/>
      <c r="S42" s="403">
        <f>[1]!F9__OPEBBudgFY</f>
        <v>0</v>
      </c>
      <c r="T42" s="12"/>
      <c r="U42" s="322" t="s">
        <v>22</v>
      </c>
    </row>
    <row r="43" spans="1:21" ht="12" customHeight="1">
      <c r="A43" s="401" t="s">
        <v>6</v>
      </c>
      <c r="C43" s="1" t="s">
        <v>1096</v>
      </c>
      <c r="D43" s="290"/>
      <c r="I43" s="1510" cm="1">
        <f t="array" ref="I43">[1]!F020TeachCompIncrBudgFY</f>
        <v>0</v>
      </c>
      <c r="J43" s="1074"/>
      <c r="K43" s="1262" t="s">
        <v>6</v>
      </c>
      <c r="L43" s="96"/>
      <c r="M43" s="120" t="s">
        <v>40</v>
      </c>
      <c r="O43" s="19" t="s">
        <v>260</v>
      </c>
      <c r="P43" s="96"/>
      <c r="Q43" s="96"/>
      <c r="R43" s="96"/>
      <c r="S43" s="403">
        <f>[1]!F9__OtherBudgFY</f>
        <v>0</v>
      </c>
      <c r="T43" s="12"/>
      <c r="U43" s="322" t="s">
        <v>40</v>
      </c>
    </row>
    <row r="44" spans="1:21" ht="12" customHeight="1">
      <c r="A44" s="401" t="s">
        <v>8</v>
      </c>
      <c r="B44" s="96"/>
      <c r="C44" s="96" t="s">
        <v>1097</v>
      </c>
      <c r="D44" s="96"/>
      <c r="E44" s="401"/>
      <c r="I44" s="1510" cm="1">
        <f t="array" ref="I44">[1]!F020ClassSizeRedBudgFY</f>
        <v>19948</v>
      </c>
      <c r="J44" s="1075">
        <v>17823</v>
      </c>
      <c r="K44" s="415" t="s">
        <v>8</v>
      </c>
      <c r="L44" s="96"/>
      <c r="N44" s="410"/>
      <c r="O44" s="96"/>
      <c r="P44" s="96"/>
      <c r="Q44" s="96"/>
      <c r="R44" s="96"/>
      <c r="U44" s="177"/>
    </row>
    <row r="45" spans="1:21" ht="12.75" customHeight="1">
      <c r="A45" s="401" t="s">
        <v>22</v>
      </c>
      <c r="B45" s="96"/>
      <c r="C45" s="96" t="s">
        <v>1098</v>
      </c>
      <c r="D45" s="96"/>
      <c r="E45" s="401"/>
      <c r="I45" s="1510" cm="1">
        <f t="array" ref="I45">[1]!F020DropPrevProgBudgFY</f>
        <v>0</v>
      </c>
      <c r="J45" s="1075"/>
      <c r="K45" s="415" t="s">
        <v>22</v>
      </c>
      <c r="L45" s="96"/>
      <c r="N45" s="1271"/>
      <c r="S45" s="424"/>
      <c r="T45" s="96"/>
    </row>
    <row r="46" spans="1:21" ht="12.75" customHeight="1">
      <c r="A46" s="401" t="s">
        <v>40</v>
      </c>
      <c r="B46" s="96"/>
      <c r="C46" s="96" t="s">
        <v>1099</v>
      </c>
      <c r="D46" s="96"/>
      <c r="E46" s="401"/>
      <c r="I46" s="329" cm="1">
        <f t="array" ref="I46">[1]!F020InstrImprProgBudgFY</f>
        <v>8656</v>
      </c>
      <c r="J46" s="1075">
        <v>5158</v>
      </c>
      <c r="K46" s="415" t="s">
        <v>40</v>
      </c>
      <c r="M46" s="175" t="s">
        <v>261</v>
      </c>
      <c r="N46" s="96" t="s">
        <v>1019</v>
      </c>
    </row>
    <row r="47" spans="1:21" ht="12.75" customHeight="1" thickBot="1">
      <c r="A47" s="401" t="s">
        <v>98</v>
      </c>
      <c r="B47" s="96"/>
      <c r="C47" s="96" t="s">
        <v>262</v>
      </c>
      <c r="D47" s="96"/>
      <c r="E47" s="401"/>
      <c r="I47" s="1073">
        <f>SUM(I43:I46)</f>
        <v>28604</v>
      </c>
      <c r="J47" s="1073">
        <f>SUM(J43:J46)</f>
        <v>22981</v>
      </c>
      <c r="K47" s="415" t="s">
        <v>98</v>
      </c>
      <c r="M47" s="175" t="s">
        <v>263</v>
      </c>
      <c r="N47" s="96" t="s">
        <v>264</v>
      </c>
      <c r="S47" s="1445">
        <v>0</v>
      </c>
    </row>
    <row r="48" spans="1:21" ht="12.75" customHeight="1" thickTop="1">
      <c r="A48" s="1271"/>
      <c r="B48" s="1271"/>
      <c r="E48" s="401"/>
      <c r="I48" s="1070"/>
      <c r="J48" s="1072"/>
      <c r="K48" s="1256"/>
      <c r="M48" s="175"/>
      <c r="N48" s="96"/>
    </row>
    <row r="49" spans="1:28">
      <c r="A49" s="425"/>
      <c r="B49" s="1271"/>
      <c r="E49" s="401"/>
      <c r="I49" s="1071"/>
      <c r="J49" s="1071"/>
    </row>
    <row r="50" spans="1:28">
      <c r="E50" s="1659"/>
      <c r="F50" s="1659"/>
      <c r="G50" s="1660"/>
      <c r="H50" s="1660"/>
    </row>
    <row r="51" spans="1:28">
      <c r="E51" s="1654"/>
      <c r="F51" s="1654"/>
      <c r="G51" s="1654"/>
      <c r="H51" s="1654"/>
      <c r="AB51" s="422"/>
    </row>
    <row r="52" spans="1:28">
      <c r="E52" s="1654"/>
      <c r="F52" s="1654"/>
      <c r="G52" s="1655"/>
      <c r="H52" s="1655"/>
      <c r="AB52" s="422"/>
    </row>
    <row r="53" spans="1:28">
      <c r="E53" s="1654"/>
      <c r="F53" s="1654"/>
      <c r="G53" s="1655"/>
      <c r="H53" s="1655"/>
      <c r="AB53" s="422"/>
    </row>
    <row r="54" spans="1:28">
      <c r="E54" s="1654"/>
      <c r="F54" s="1654"/>
      <c r="G54" s="1655"/>
      <c r="H54" s="1655"/>
      <c r="AB54" s="422"/>
    </row>
    <row r="55" spans="1:28">
      <c r="E55" s="1654"/>
      <c r="F55" s="1654"/>
      <c r="G55" s="1655"/>
      <c r="H55" s="1655"/>
      <c r="AB55" s="422"/>
    </row>
    <row r="56" spans="1:28">
      <c r="E56" s="400"/>
      <c r="AB56" s="422"/>
    </row>
    <row r="57" spans="1:28">
      <c r="T57" s="96"/>
      <c r="W57" s="401"/>
    </row>
  </sheetData>
  <sheetProtection formatCells="0" formatColumns="0" formatRows="0"/>
  <mergeCells count="53">
    <mergeCell ref="G19:H19"/>
    <mergeCell ref="G9:H9"/>
    <mergeCell ref="G23:H23"/>
    <mergeCell ref="G24:H24"/>
    <mergeCell ref="G25:H25"/>
    <mergeCell ref="G18:H18"/>
    <mergeCell ref="G16:H16"/>
    <mergeCell ref="G13:H13"/>
    <mergeCell ref="G14:H14"/>
    <mergeCell ref="G15:H15"/>
    <mergeCell ref="G17:H17"/>
    <mergeCell ref="G20:H20"/>
    <mergeCell ref="P1:Q1"/>
    <mergeCell ref="J1:L1"/>
    <mergeCell ref="G3:H3"/>
    <mergeCell ref="F5:H5"/>
    <mergeCell ref="G6:H6"/>
    <mergeCell ref="D1:F1"/>
    <mergeCell ref="B4:D4"/>
    <mergeCell ref="G7:H7"/>
    <mergeCell ref="G8:H8"/>
    <mergeCell ref="G10:H10"/>
    <mergeCell ref="G11:H11"/>
    <mergeCell ref="G12:H12"/>
    <mergeCell ref="G39:H39"/>
    <mergeCell ref="G32:H32"/>
    <mergeCell ref="G35:H35"/>
    <mergeCell ref="G30:H30"/>
    <mergeCell ref="G37:H37"/>
    <mergeCell ref="G26:H26"/>
    <mergeCell ref="G21:H21"/>
    <mergeCell ref="G22:H22"/>
    <mergeCell ref="G34:H34"/>
    <mergeCell ref="G29:H29"/>
    <mergeCell ref="G33:H33"/>
    <mergeCell ref="G31:H31"/>
    <mergeCell ref="G27:H27"/>
    <mergeCell ref="E54:F54"/>
    <mergeCell ref="G54:H54"/>
    <mergeCell ref="E55:F55"/>
    <mergeCell ref="G55:H55"/>
    <mergeCell ref="G36:H36"/>
    <mergeCell ref="A42:E42"/>
    <mergeCell ref="G51:H51"/>
    <mergeCell ref="E51:F51"/>
    <mergeCell ref="E50:F50"/>
    <mergeCell ref="G52:H52"/>
    <mergeCell ref="E53:F53"/>
    <mergeCell ref="G53:H53"/>
    <mergeCell ref="G50:H50"/>
    <mergeCell ref="G40:H40"/>
    <mergeCell ref="E52:F52"/>
    <mergeCell ref="G38:H38"/>
  </mergeCells>
  <hyperlinks>
    <hyperlink ref="A22" location="Page6l16" display="16." xr:uid="{00000000-0004-0000-0700-000000000000}"/>
    <hyperlink ref="M41" location="Page6l2" display="2." xr:uid="{00000000-0004-0000-0700-000001000000}"/>
    <hyperlink ref="M6" location="Page6l2and3" display="2." xr:uid="{00000000-0004-0000-0700-000002000000}"/>
    <hyperlink ref="M7" location="Page6l2and3" display="3." xr:uid="{00000000-0004-0000-0700-000003000000}"/>
    <hyperlink ref="M8" location="Page6l4" display="4." xr:uid="{00000000-0004-0000-0700-000004000000}"/>
    <hyperlink ref="M38" location="Page6l34" display="34." xr:uid="{00000000-0004-0000-0700-000006000000}"/>
    <hyperlink ref="M28" location="Page6l24" display="24." xr:uid="{00000000-0004-0000-0700-000007000000}"/>
    <hyperlink ref="A24" location="Page6l16" display="17." xr:uid="{00000000-0004-0000-0700-000009000000}"/>
    <hyperlink ref="M33" location="Page6l29" display="29." xr:uid="{00000000-0004-0000-0700-00000A000000}"/>
    <hyperlink ref="M34" location="Page6l30" display="30." xr:uid="{00000000-0004-0000-0700-00000B000000}"/>
    <hyperlink ref="A38" location="Page6l31" display="31." xr:uid="{00000000-0004-0000-0700-00000C000000}"/>
    <hyperlink ref="A25" location="Page6l17" display="19." xr:uid="{00000000-0004-0000-0700-00000D000000}"/>
    <hyperlink ref="B4" location="Page6l16" display="Instructions" xr:uid="{00000000-0004-0000-0700-00000E000000}"/>
    <hyperlink ref="A36" location="Page6F456" display="29." xr:uid="{00000000-0004-0000-0700-00000F000000}"/>
  </hyperlinks>
  <printOptions horizontalCentered="1"/>
  <pageMargins left="0.25" right="0.25" top="0.25" bottom="0.25" header="0" footer="0.15"/>
  <pageSetup paperSize="5" scale="94" orientation="landscape" r:id="rId1"/>
  <headerFooter alignWithMargins="0">
    <oddFooter>&amp;L&amp;"Times New Roman,Bold"&amp;9Rev. 5/26&amp;K000000 Arizona Department of Education and Auditor General&amp;C&amp;"Times New Roman,Regular"&amp;9&amp;D  &amp;T</oddFooter>
  </headerFooter>
  <ignoredErrors>
    <ignoredError sqref="M28"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pageSetUpPr fitToPage="1"/>
  </sheetPr>
  <dimension ref="A1:AB72"/>
  <sheetViews>
    <sheetView showGridLines="0" topLeftCell="A24" zoomScaleNormal="100" zoomScaleSheetLayoutView="115" workbookViewId="0">
      <selection activeCell="J35" sqref="J35"/>
    </sheetView>
  </sheetViews>
  <sheetFormatPr defaultColWidth="8" defaultRowHeight="11.4"/>
  <cols>
    <col min="1" max="2" width="2.81640625" style="303" customWidth="1"/>
    <col min="3" max="3" width="6" style="303" customWidth="1"/>
    <col min="4" max="4" width="15.81640625" style="303" customWidth="1"/>
    <col min="5" max="5" width="2.81640625" style="303" customWidth="1"/>
    <col min="6" max="6" width="8.81640625" style="303" customWidth="1"/>
    <col min="7" max="7" width="3.81640625" style="303" customWidth="1"/>
    <col min="8" max="8" width="12.81640625" style="303" customWidth="1"/>
    <col min="9" max="9" width="6.54296875" style="303" customWidth="1"/>
    <col min="10" max="10" width="11.453125" style="303" customWidth="1"/>
    <col min="11" max="11" width="3.81640625" style="303" customWidth="1"/>
    <col min="12" max="12" width="2.453125" style="303" customWidth="1"/>
    <col min="13" max="13" width="11.453125" style="303" customWidth="1"/>
    <col min="14" max="14" width="8" style="303" customWidth="1"/>
    <col min="15" max="15" width="1.81640625" style="303" customWidth="1"/>
    <col min="16" max="16" width="4.81640625" style="303" customWidth="1"/>
    <col min="17" max="17" width="18" style="303" customWidth="1"/>
    <col min="18" max="18" width="10.81640625" style="303" customWidth="1"/>
    <col min="19" max="19" width="8" style="303" customWidth="1"/>
    <col min="20" max="20" width="2.6328125" style="303" customWidth="1"/>
    <col min="21" max="21" width="8" style="303" customWidth="1"/>
    <col min="22" max="22" width="1.54296875" style="303" customWidth="1"/>
    <col min="23" max="23" width="1.453125" style="303" customWidth="1"/>
    <col min="24" max="29" width="8" style="303" customWidth="1"/>
    <col min="30" max="16384" width="8" style="303"/>
  </cols>
  <sheetData>
    <row r="1" spans="1:19" ht="15">
      <c r="A1" s="426"/>
      <c r="B1" s="445"/>
      <c r="C1" s="1313" t="s">
        <v>140</v>
      </c>
      <c r="D1" s="1691" t="str">
        <f>DistrictName</f>
        <v>Pomerene Elementary School District</v>
      </c>
      <c r="E1" s="1606"/>
      <c r="F1" s="1133" t="s">
        <v>1</v>
      </c>
      <c r="G1" s="1691" t="str">
        <f>Cover!H1</f>
        <v>Cochise</v>
      </c>
      <c r="H1" s="1606"/>
      <c r="I1" s="1606"/>
      <c r="J1" s="443"/>
      <c r="K1" s="1134"/>
      <c r="L1" s="1135" t="s">
        <v>57</v>
      </c>
      <c r="M1" s="429" t="str">
        <f>Cover!S1</f>
        <v>020364000</v>
      </c>
    </row>
    <row r="2" spans="1:19" ht="15" customHeight="1">
      <c r="A2" s="430"/>
      <c r="B2" s="1289"/>
      <c r="C2" s="1289"/>
      <c r="D2" s="1289"/>
      <c r="E2" s="1289"/>
      <c r="F2" s="1289"/>
      <c r="G2" s="1289"/>
      <c r="H2" s="1289"/>
      <c r="I2" s="1289"/>
      <c r="J2" s="1289"/>
      <c r="K2" s="96"/>
      <c r="L2" s="1135" t="s">
        <v>16</v>
      </c>
      <c r="M2" s="431" t="str">
        <f>Cover!C8</f>
        <v>Proposed</v>
      </c>
    </row>
    <row r="3" spans="1:19" ht="12" customHeight="1">
      <c r="A3" s="1693" t="s">
        <v>1354</v>
      </c>
      <c r="B3" s="1694"/>
      <c r="C3" s="1694"/>
      <c r="D3" s="1694"/>
      <c r="E3" s="1694"/>
      <c r="F3" s="1694"/>
      <c r="G3" s="1694"/>
      <c r="H3" s="1694"/>
      <c r="I3" s="1694"/>
      <c r="J3" s="1694"/>
      <c r="K3" s="1694"/>
      <c r="L3" s="1694"/>
      <c r="M3" s="1694"/>
    </row>
    <row r="4" spans="1:19" ht="12" customHeight="1">
      <c r="A4" s="432" t="s">
        <v>265</v>
      </c>
      <c r="B4" s="433"/>
      <c r="C4" s="433"/>
      <c r="D4" s="433"/>
      <c r="E4" s="433"/>
      <c r="F4" s="434"/>
      <c r="G4" s="434"/>
      <c r="H4" s="434"/>
      <c r="I4" s="434"/>
      <c r="J4" s="434"/>
      <c r="K4" s="433"/>
      <c r="L4" s="433"/>
      <c r="M4" s="435"/>
    </row>
    <row r="5" spans="1:19" ht="3" customHeight="1">
      <c r="A5" s="432"/>
      <c r="B5" s="433"/>
      <c r="C5" s="433"/>
      <c r="D5" s="433"/>
      <c r="E5" s="433"/>
      <c r="F5" s="433"/>
      <c r="G5" s="433"/>
      <c r="H5" s="433"/>
      <c r="I5" s="433"/>
      <c r="J5" s="433"/>
      <c r="K5" s="433"/>
      <c r="L5" s="433"/>
      <c r="M5" s="435"/>
    </row>
    <row r="6" spans="1:19" ht="9.75" customHeight="1">
      <c r="A6" s="436"/>
      <c r="B6" s="1699" t="s">
        <v>691</v>
      </c>
      <c r="C6" s="1699"/>
      <c r="D6" s="1699"/>
      <c r="E6" s="1289"/>
      <c r="F6" s="1289"/>
      <c r="G6" s="1289"/>
      <c r="H6" s="1289"/>
      <c r="I6" s="1289"/>
      <c r="J6" s="437" t="s">
        <v>266</v>
      </c>
      <c r="K6" s="433"/>
      <c r="L6" s="433"/>
      <c r="M6" s="438" t="s">
        <v>267</v>
      </c>
    </row>
    <row r="7" spans="1:19" ht="10.5" customHeight="1">
      <c r="A7" s="439" t="s">
        <v>42</v>
      </c>
      <c r="B7" s="1699"/>
      <c r="C7" s="1699"/>
      <c r="D7" s="1699"/>
      <c r="E7" s="433"/>
      <c r="F7" s="433"/>
      <c r="G7" s="433"/>
      <c r="H7" s="433"/>
      <c r="I7" s="433"/>
      <c r="J7" s="437" t="s">
        <v>268</v>
      </c>
      <c r="K7" s="440"/>
      <c r="L7" s="1289"/>
      <c r="M7" s="438" t="s">
        <v>269</v>
      </c>
    </row>
    <row r="8" spans="1:19" ht="10.5" customHeight="1">
      <c r="A8" s="439"/>
      <c r="B8" s="433"/>
      <c r="C8" s="433"/>
      <c r="D8" s="433"/>
      <c r="E8" s="433"/>
      <c r="F8" s="433"/>
      <c r="G8" s="433"/>
      <c r="H8" s="433"/>
      <c r="I8" s="433"/>
      <c r="J8" s="441" t="s">
        <v>270</v>
      </c>
      <c r="K8" s="440"/>
      <c r="L8" s="1289"/>
      <c r="M8" s="442" t="s">
        <v>271</v>
      </c>
    </row>
    <row r="9" spans="1:19" ht="11.25" customHeight="1">
      <c r="A9" s="180" t="s">
        <v>272</v>
      </c>
      <c r="B9" s="1171" t="s">
        <v>1353</v>
      </c>
      <c r="C9" s="443"/>
      <c r="D9" s="434"/>
      <c r="E9" s="434"/>
      <c r="F9" s="434"/>
      <c r="G9" s="433"/>
      <c r="H9" s="1289"/>
      <c r="I9" s="433"/>
      <c r="J9" s="427"/>
      <c r="K9" s="440"/>
      <c r="L9" s="1289"/>
      <c r="M9" s="295"/>
      <c r="N9" s="1679" t="str">
        <f>IF((H10-J10)&gt;=0,"","The RCL amount allocated to the M&amp;O Fund exceeds the calculated RCL amount.")</f>
        <v/>
      </c>
      <c r="O9" s="1679"/>
      <c r="P9" s="1679"/>
      <c r="Q9" s="1679"/>
      <c r="R9" s="1679"/>
      <c r="S9" s="1679"/>
    </row>
    <row r="10" spans="1:19" ht="12.75" customHeight="1">
      <c r="A10" s="295"/>
      <c r="B10" s="444" t="s">
        <v>960</v>
      </c>
      <c r="C10" s="443"/>
      <c r="D10" s="445"/>
      <c r="E10" s="445"/>
      <c r="F10" s="445"/>
      <c r="G10" s="446" t="s">
        <v>273</v>
      </c>
      <c r="H10" s="127">
        <f>RCL</f>
        <v>949390</v>
      </c>
      <c r="I10" s="447" t="s">
        <v>273</v>
      </c>
      <c r="J10" s="6">
        <v>949390</v>
      </c>
      <c r="K10" s="449"/>
      <c r="L10" s="447" t="s">
        <v>273</v>
      </c>
      <c r="M10" s="450">
        <f>IF((H10-J10)&lt;0,"Error",H10-J10)</f>
        <v>0</v>
      </c>
      <c r="N10" s="1679"/>
      <c r="O10" s="1679"/>
      <c r="P10" s="1679"/>
      <c r="Q10" s="1679"/>
      <c r="R10" s="1679"/>
      <c r="S10" s="1679"/>
    </row>
    <row r="11" spans="1:19" ht="12" hidden="1">
      <c r="A11" s="451"/>
      <c r="B11" s="452"/>
      <c r="C11" s="453"/>
      <c r="D11" s="1289"/>
      <c r="E11" s="1289"/>
      <c r="F11" s="1289"/>
      <c r="G11" s="447"/>
      <c r="H11" s="454"/>
      <c r="I11" s="449"/>
      <c r="J11" s="449"/>
      <c r="K11" s="449"/>
      <c r="L11" s="1289"/>
      <c r="M11" s="449"/>
    </row>
    <row r="12" spans="1:19" ht="3" customHeight="1">
      <c r="A12" s="455"/>
      <c r="B12" s="452"/>
      <c r="C12" s="1698"/>
      <c r="D12" s="1698"/>
      <c r="E12" s="1698"/>
      <c r="F12" s="1698"/>
      <c r="G12" s="447"/>
      <c r="H12" s="1273"/>
      <c r="I12" s="449"/>
      <c r="J12" s="449"/>
      <c r="K12" s="449"/>
      <c r="L12" s="1289"/>
      <c r="M12" s="449"/>
    </row>
    <row r="13" spans="1:19" ht="13.5" hidden="1" customHeight="1">
      <c r="A13" s="456"/>
      <c r="B13" s="457"/>
      <c r="C13" s="453"/>
      <c r="D13" s="295"/>
      <c r="E13" s="1289"/>
      <c r="F13" s="1289"/>
      <c r="G13" s="447"/>
      <c r="H13" s="445"/>
    </row>
    <row r="14" spans="1:19" ht="25.5" customHeight="1">
      <c r="A14" s="458" t="s">
        <v>274</v>
      </c>
      <c r="B14" s="459" t="s">
        <v>275</v>
      </c>
      <c r="C14" s="1689" t="s">
        <v>1355</v>
      </c>
      <c r="D14" s="1689"/>
      <c r="E14" s="1689"/>
      <c r="F14" s="1689"/>
      <c r="G14" s="446" t="s">
        <v>273</v>
      </c>
      <c r="H14" s="448">
        <f>PreAdjDAA</f>
        <v>76482</v>
      </c>
      <c r="I14" s="447"/>
      <c r="J14" s="1273"/>
      <c r="K14" s="449"/>
      <c r="L14" s="1289"/>
      <c r="M14" s="1273"/>
    </row>
    <row r="15" spans="1:19" ht="12.75" customHeight="1">
      <c r="A15" s="455"/>
      <c r="B15" s="459" t="s">
        <v>276</v>
      </c>
      <c r="C15" s="1697" t="s">
        <v>1020</v>
      </c>
      <c r="D15" s="1697"/>
      <c r="E15" s="1697"/>
      <c r="F15" s="1697"/>
      <c r="G15" s="446" t="s">
        <v>273</v>
      </c>
      <c r="H15" s="448">
        <f>TotalDAAAdj</f>
        <v>0</v>
      </c>
      <c r="I15" s="447"/>
      <c r="J15" s="1273"/>
      <c r="K15" s="449"/>
      <c r="L15" s="1289"/>
      <c r="M15" s="1273"/>
      <c r="N15" s="1679" t="str">
        <f>IF((H17-J17)&gt;=0,"","The DAA amount allocated to the M&amp;O Fund exceeds the calculated DAA amount.")</f>
        <v/>
      </c>
      <c r="O15" s="1679"/>
      <c r="P15" s="1679"/>
      <c r="Q15" s="1679"/>
      <c r="R15" s="1679"/>
      <c r="S15" s="1679"/>
    </row>
    <row r="16" spans="1:19" ht="27" hidden="1" customHeight="1">
      <c r="A16" s="455"/>
      <c r="B16" s="460"/>
      <c r="C16" s="1689"/>
      <c r="D16" s="1689"/>
      <c r="E16" s="1689"/>
      <c r="F16" s="1689"/>
      <c r="G16" s="447"/>
      <c r="H16" s="461"/>
      <c r="I16" s="447"/>
      <c r="J16" s="1273"/>
      <c r="K16" s="449"/>
      <c r="L16" s="1289"/>
      <c r="M16" s="1273"/>
      <c r="N16" s="1679"/>
      <c r="O16" s="1679"/>
      <c r="P16" s="1679"/>
      <c r="Q16" s="1679"/>
      <c r="R16" s="1679"/>
      <c r="S16" s="1679"/>
    </row>
    <row r="17" spans="1:28" ht="12.75" customHeight="1">
      <c r="A17" s="451"/>
      <c r="B17" s="462" t="s">
        <v>277</v>
      </c>
      <c r="C17" s="199" t="s">
        <v>278</v>
      </c>
      <c r="D17" s="445"/>
      <c r="E17" s="1289"/>
      <c r="F17" s="1289"/>
      <c r="G17" s="447" t="s">
        <v>273</v>
      </c>
      <c r="H17" s="463">
        <f>H14+H15</f>
        <v>76482</v>
      </c>
      <c r="I17" s="447"/>
      <c r="J17" s="89"/>
      <c r="K17" s="449"/>
      <c r="L17" s="1289"/>
      <c r="M17" s="464">
        <f>IF((H17-J17)&lt;0,"Error",H17-J17)</f>
        <v>76482</v>
      </c>
      <c r="N17" s="1679"/>
      <c r="O17" s="1679"/>
      <c r="P17" s="1679"/>
      <c r="Q17" s="1679"/>
      <c r="R17" s="1679"/>
      <c r="S17" s="1679"/>
    </row>
    <row r="18" spans="1:28" ht="45.75" customHeight="1">
      <c r="A18" s="465" t="s">
        <v>279</v>
      </c>
      <c r="B18" s="1680" t="s">
        <v>1356</v>
      </c>
      <c r="C18" s="1680"/>
      <c r="D18" s="1680"/>
      <c r="E18" s="1680"/>
      <c r="F18" s="1680"/>
      <c r="G18" s="1680"/>
      <c r="H18" s="1680"/>
      <c r="I18" s="1680"/>
      <c r="J18" s="454"/>
      <c r="K18" s="449"/>
      <c r="L18" s="1289"/>
      <c r="M18" s="449"/>
      <c r="N18" s="443"/>
      <c r="AA18" s="1176" t="s">
        <v>280</v>
      </c>
      <c r="AB18" s="443"/>
    </row>
    <row r="19" spans="1:28" ht="12">
      <c r="A19" s="447"/>
      <c r="B19" s="466" t="s">
        <v>275</v>
      </c>
      <c r="C19" s="445" t="s">
        <v>281</v>
      </c>
      <c r="D19" s="445"/>
      <c r="E19" s="1289"/>
      <c r="F19" s="1289"/>
      <c r="G19" s="1289"/>
      <c r="H19" s="1289"/>
      <c r="I19" s="447" t="s">
        <v>42</v>
      </c>
      <c r="J19" s="91"/>
      <c r="K19" s="449"/>
      <c r="L19" s="1289"/>
      <c r="M19" s="449"/>
    </row>
    <row r="20" spans="1:28" ht="12" customHeight="1">
      <c r="A20" s="455"/>
      <c r="B20" s="466" t="s">
        <v>276</v>
      </c>
      <c r="C20" s="445" t="s">
        <v>180</v>
      </c>
      <c r="D20" s="445"/>
      <c r="E20" s="1289"/>
      <c r="F20" s="1289"/>
      <c r="G20" s="1289"/>
      <c r="H20" s="1289"/>
      <c r="I20" s="447"/>
      <c r="J20" s="467"/>
      <c r="K20" s="449"/>
      <c r="L20" s="1289"/>
      <c r="M20" s="91"/>
    </row>
    <row r="21" spans="1:28" ht="12" customHeight="1">
      <c r="A21" s="447"/>
      <c r="B21" s="105" t="s">
        <v>277</v>
      </c>
      <c r="C21" s="445" t="s">
        <v>282</v>
      </c>
      <c r="D21" s="445"/>
      <c r="E21" s="1289"/>
      <c r="F21" s="1289"/>
      <c r="G21" s="1289"/>
      <c r="H21" s="1289"/>
      <c r="I21" s="447" t="s">
        <v>42</v>
      </c>
      <c r="J21" s="91"/>
      <c r="K21" s="449"/>
      <c r="L21" s="453"/>
      <c r="M21" s="7"/>
    </row>
    <row r="22" spans="1:28" ht="12" customHeight="1">
      <c r="A22" s="468" t="s">
        <v>283</v>
      </c>
      <c r="B22" s="1695" t="s">
        <v>1100</v>
      </c>
      <c r="C22" s="1696"/>
      <c r="D22" s="1696"/>
      <c r="E22" s="1696"/>
      <c r="F22" s="1696"/>
      <c r="G22" s="1696"/>
      <c r="H22" s="1696"/>
      <c r="I22" s="1692"/>
      <c r="J22" s="454"/>
      <c r="K22" s="449"/>
      <c r="L22" s="1289"/>
      <c r="M22" s="467"/>
      <c r="O22" s="1683" t="str">
        <f>IF(AND('Data Entry'!J34&gt;0,OR(AND(UnweightedStudCntK8PY&gt;0,UnweightedStudCntK8PY&lt;=125),AND(UnweightedStudCnt912PY&gt;0,UnweightedStudCnt912PY&lt;=100)),(AND(SSA_MO=0,SSA_UCO=0))),_xlfn.CONCAT("Reported FY ",TwoYearsPrior," ADM for K-8 and/or 9-12 is eligible for a small school adjustment. Amounts cannot be added or increased on line 4 after budget adoption."),"")</f>
        <v/>
      </c>
      <c r="P22" s="1683"/>
      <c r="Q22" s="1683"/>
      <c r="R22" s="1683"/>
      <c r="S22" s="1683"/>
      <c r="T22" s="1683"/>
      <c r="U22" s="1683"/>
    </row>
    <row r="23" spans="1:28" ht="24" customHeight="1">
      <c r="A23" s="456"/>
      <c r="B23" s="1696"/>
      <c r="C23" s="1696"/>
      <c r="D23" s="1696"/>
      <c r="E23" s="1696"/>
      <c r="F23" s="1696"/>
      <c r="G23" s="1696"/>
      <c r="H23" s="1696"/>
      <c r="I23" s="1692"/>
      <c r="J23" s="6">
        <v>173949</v>
      </c>
      <c r="K23" s="449"/>
      <c r="L23" s="1289"/>
      <c r="M23" s="7"/>
      <c r="O23" s="1683"/>
      <c r="P23" s="1683"/>
      <c r="Q23" s="1683"/>
      <c r="R23" s="1683"/>
      <c r="S23" s="1683"/>
      <c r="T23" s="1683"/>
      <c r="U23" s="1683"/>
    </row>
    <row r="24" spans="1:28" s="471" customFormat="1" ht="12" customHeight="1">
      <c r="A24" s="465" t="s">
        <v>284</v>
      </c>
      <c r="B24" s="1286" t="s">
        <v>1021</v>
      </c>
      <c r="C24" s="478"/>
      <c r="D24" s="469"/>
      <c r="E24" s="469"/>
      <c r="F24" s="469"/>
      <c r="G24" s="469"/>
      <c r="H24" s="469"/>
      <c r="I24" s="469"/>
      <c r="J24" s="469"/>
      <c r="K24" s="470"/>
      <c r="L24" s="469"/>
      <c r="M24" s="470"/>
    </row>
    <row r="25" spans="1:28" ht="13.5" customHeight="1">
      <c r="A25" s="472"/>
      <c r="B25" s="473" t="s">
        <v>285</v>
      </c>
      <c r="C25" s="445"/>
      <c r="D25" s="445"/>
      <c r="E25" s="445"/>
      <c r="F25" s="445"/>
      <c r="G25" s="445"/>
      <c r="H25" s="1289"/>
      <c r="I25" s="1289"/>
      <c r="J25" s="1289"/>
      <c r="K25" s="449"/>
      <c r="L25" s="1289"/>
      <c r="M25" s="449"/>
    </row>
    <row r="26" spans="1:28" ht="12">
      <c r="A26" s="472"/>
      <c r="B26" s="1289" t="s">
        <v>275</v>
      </c>
      <c r="C26" s="445" t="s">
        <v>1022</v>
      </c>
      <c r="D26" s="445"/>
      <c r="E26" s="1289"/>
      <c r="F26" s="1289"/>
      <c r="G26" s="1289"/>
      <c r="H26" s="1289"/>
      <c r="I26" s="447" t="s">
        <v>42</v>
      </c>
      <c r="J26" s="91"/>
      <c r="K26" s="449"/>
      <c r="L26" s="1289"/>
      <c r="M26" s="91"/>
    </row>
    <row r="27" spans="1:28" ht="12" customHeight="1">
      <c r="A27" s="472"/>
      <c r="B27" s="1289" t="s">
        <v>276</v>
      </c>
      <c r="C27" s="445" t="s">
        <v>1101</v>
      </c>
      <c r="D27" s="1289"/>
      <c r="E27" s="1289"/>
      <c r="F27" s="1289"/>
      <c r="G27" s="1289"/>
      <c r="H27" s="1289"/>
      <c r="I27" s="447" t="s">
        <v>42</v>
      </c>
      <c r="J27" s="6"/>
      <c r="K27" s="449"/>
      <c r="L27" s="1289"/>
      <c r="M27" s="7"/>
    </row>
    <row r="28" spans="1:28" ht="12" customHeight="1">
      <c r="A28" s="472"/>
      <c r="B28" s="1289" t="s">
        <v>277</v>
      </c>
      <c r="C28" s="445" t="s">
        <v>1102</v>
      </c>
      <c r="D28" s="445"/>
      <c r="E28" s="445"/>
      <c r="F28" s="1289"/>
      <c r="G28" s="1289"/>
      <c r="H28" s="1289"/>
      <c r="I28" s="447" t="s">
        <v>42</v>
      </c>
      <c r="J28" s="6"/>
      <c r="K28" s="449"/>
      <c r="L28" s="1289"/>
      <c r="M28" s="7"/>
    </row>
    <row r="29" spans="1:28" ht="12" customHeight="1">
      <c r="A29" s="472"/>
      <c r="B29" s="466" t="s">
        <v>286</v>
      </c>
      <c r="C29" s="453" t="s">
        <v>287</v>
      </c>
      <c r="D29" s="1289"/>
      <c r="E29" s="1289"/>
      <c r="F29" s="1289"/>
      <c r="G29" s="1289"/>
      <c r="H29" s="1289"/>
      <c r="I29" s="447" t="s">
        <v>42</v>
      </c>
      <c r="J29" s="91"/>
      <c r="K29" s="449"/>
      <c r="L29" s="1289"/>
      <c r="M29" s="91"/>
    </row>
    <row r="30" spans="1:28" ht="14.25" customHeight="1">
      <c r="A30" s="468" t="s">
        <v>288</v>
      </c>
      <c r="B30" s="445" t="s">
        <v>1103</v>
      </c>
      <c r="C30" s="445"/>
      <c r="D30" s="445"/>
      <c r="E30" s="445"/>
      <c r="F30" s="445"/>
      <c r="G30" s="445"/>
      <c r="H30" s="445"/>
      <c r="I30" s="445"/>
      <c r="J30" s="6"/>
      <c r="K30" s="449"/>
      <c r="L30" s="1289"/>
      <c r="M30" s="7"/>
    </row>
    <row r="31" spans="1:28" ht="14.25" customHeight="1">
      <c r="A31" s="468" t="s">
        <v>289</v>
      </c>
      <c r="B31" s="474" t="s">
        <v>1106</v>
      </c>
      <c r="C31" s="445"/>
      <c r="D31" s="445"/>
      <c r="E31" s="445"/>
      <c r="F31" s="445"/>
      <c r="G31" s="445"/>
      <c r="H31" s="445"/>
      <c r="I31" s="1289"/>
      <c r="J31" s="454"/>
      <c r="K31" s="449"/>
      <c r="L31" s="1289"/>
      <c r="M31" s="483"/>
    </row>
    <row r="32" spans="1:28" ht="24" customHeight="1">
      <c r="A32" s="472"/>
      <c r="B32" s="1684" t="s">
        <v>1104</v>
      </c>
      <c r="C32" s="1684"/>
      <c r="D32" s="1684"/>
      <c r="E32" s="1684"/>
      <c r="F32" s="1684"/>
      <c r="G32" s="1684"/>
      <c r="H32" s="1684"/>
      <c r="I32" s="447"/>
      <c r="J32" s="91"/>
      <c r="K32" s="449"/>
      <c r="L32" s="1289"/>
      <c r="M32" s="1273"/>
    </row>
    <row r="33" spans="1:23" ht="12" customHeight="1">
      <c r="A33" s="120" t="s">
        <v>102</v>
      </c>
      <c r="B33" s="445" t="s">
        <v>1105</v>
      </c>
      <c r="C33" s="1289"/>
      <c r="D33" s="445"/>
      <c r="E33" s="1289"/>
      <c r="F33" s="1289"/>
      <c r="G33" s="1289"/>
      <c r="H33" s="1289"/>
      <c r="I33" s="1289"/>
      <c r="J33" s="454"/>
      <c r="K33" s="449"/>
      <c r="L33" s="1289"/>
      <c r="M33" s="449"/>
      <c r="O33" s="475"/>
      <c r="P33" s="443"/>
      <c r="Q33" s="443"/>
      <c r="R33" s="443"/>
      <c r="S33" s="443"/>
      <c r="T33" s="443"/>
      <c r="U33" s="443"/>
      <c r="V33" s="443"/>
    </row>
    <row r="34" spans="1:23" ht="13.5" customHeight="1">
      <c r="A34" s="472"/>
      <c r="B34" s="466" t="s">
        <v>275</v>
      </c>
      <c r="C34" s="1686" t="s">
        <v>1023</v>
      </c>
      <c r="D34" s="1686"/>
      <c r="E34" s="1686"/>
      <c r="F34" s="1686"/>
      <c r="G34" s="1686"/>
      <c r="H34" s="1686"/>
      <c r="I34" s="1686"/>
      <c r="J34" s="91"/>
      <c r="K34" s="449"/>
      <c r="L34" s="1289"/>
      <c r="M34" s="91"/>
      <c r="O34" s="1298"/>
      <c r="P34" s="1299"/>
      <c r="Q34" s="1299"/>
      <c r="R34" s="1299"/>
      <c r="S34" s="1299"/>
      <c r="T34" s="1299"/>
      <c r="U34" s="1297"/>
      <c r="V34" s="1297"/>
      <c r="W34" s="1297"/>
    </row>
    <row r="35" spans="1:23" ht="26.25" customHeight="1">
      <c r="A35" s="455" t="s">
        <v>290</v>
      </c>
      <c r="B35" s="466" t="s">
        <v>276</v>
      </c>
      <c r="C35" s="1684" t="s">
        <v>1107</v>
      </c>
      <c r="D35" s="1684"/>
      <c r="E35" s="1684"/>
      <c r="F35" s="1684"/>
      <c r="G35" s="1684"/>
      <c r="H35" s="1684"/>
      <c r="I35" s="476" t="s">
        <v>42</v>
      </c>
      <c r="J35" s="463">
        <f>Calculations!R104</f>
        <v>304498</v>
      </c>
      <c r="K35" s="449"/>
      <c r="L35" s="1289"/>
      <c r="M35" s="449"/>
      <c r="O35" s="1297"/>
      <c r="P35" s="1297"/>
      <c r="Q35" s="1297"/>
      <c r="R35" s="1297"/>
      <c r="S35" s="1297"/>
      <c r="T35" s="1297"/>
      <c r="U35" s="1297"/>
      <c r="V35" s="1297"/>
      <c r="W35" s="1297"/>
    </row>
    <row r="36" spans="1:23" ht="14.25" customHeight="1">
      <c r="A36" s="472"/>
      <c r="B36" s="466" t="s">
        <v>277</v>
      </c>
      <c r="C36" s="445" t="s">
        <v>1108</v>
      </c>
      <c r="D36" s="445"/>
      <c r="E36" s="445"/>
      <c r="F36" s="445"/>
      <c r="G36" s="445"/>
      <c r="H36" s="445"/>
      <c r="I36" s="476" t="s">
        <v>42</v>
      </c>
      <c r="J36" s="6"/>
      <c r="K36" s="449"/>
      <c r="L36" s="1289"/>
      <c r="M36" s="90"/>
      <c r="O36" s="207"/>
      <c r="P36" s="96"/>
      <c r="Q36" s="96"/>
      <c r="R36" s="96"/>
      <c r="S36" s="96"/>
      <c r="T36" s="96"/>
      <c r="U36" s="96"/>
      <c r="V36" s="443"/>
    </row>
    <row r="37" spans="1:23" ht="14.25" customHeight="1" thickBot="1">
      <c r="A37" s="472"/>
      <c r="B37" s="466" t="s">
        <v>286</v>
      </c>
      <c r="C37" s="474" t="s">
        <v>1109</v>
      </c>
      <c r="D37" s="445"/>
      <c r="E37" s="445"/>
      <c r="F37" s="445"/>
      <c r="G37" s="445"/>
      <c r="H37" s="445"/>
      <c r="I37" s="476"/>
      <c r="J37" s="454"/>
      <c r="K37" s="449"/>
      <c r="L37" s="1289"/>
      <c r="M37" s="477"/>
      <c r="N37" s="1682" t="str">
        <f>IF(AND(OR(J38&gt;0,M38&gt;0),T38&lt;&gt;"X"),_xlfn.CONCAT("Districts with amounts on this line should have a FY ",TwoYearsPrior," Request Letter on file with ADE. Use the check box in T38 after verifying that ADE has the letter."),"")</f>
        <v/>
      </c>
      <c r="O37" s="1682"/>
      <c r="P37" s="1682"/>
      <c r="Q37" s="1682"/>
      <c r="R37" s="1682"/>
      <c r="S37" s="1682"/>
    </row>
    <row r="38" spans="1:23" ht="12.75" customHeight="1" thickBot="1">
      <c r="A38" s="472"/>
      <c r="B38" s="445"/>
      <c r="C38" s="1172" t="s">
        <v>1357</v>
      </c>
      <c r="D38" s="478"/>
      <c r="E38" s="445"/>
      <c r="F38" s="445"/>
      <c r="G38" s="445"/>
      <c r="H38" s="445"/>
      <c r="I38" s="476"/>
      <c r="J38" s="91"/>
      <c r="K38" s="449"/>
      <c r="L38" s="1289"/>
      <c r="M38" s="91"/>
      <c r="N38" s="1682"/>
      <c r="O38" s="1682"/>
      <c r="P38" s="1682"/>
      <c r="Q38" s="1682"/>
      <c r="R38" s="1682"/>
      <c r="S38" s="1682"/>
      <c r="T38" s="58"/>
    </row>
    <row r="39" spans="1:23" ht="14.25" customHeight="1">
      <c r="A39" s="455" t="s">
        <v>290</v>
      </c>
      <c r="B39" s="466" t="s">
        <v>291</v>
      </c>
      <c r="C39" s="1685" t="s">
        <v>1110</v>
      </c>
      <c r="D39" s="1685"/>
      <c r="E39" s="1685"/>
      <c r="F39" s="1685"/>
      <c r="G39" s="1685"/>
      <c r="H39" s="1685"/>
      <c r="I39" s="1685"/>
      <c r="J39" s="91"/>
      <c r="K39" s="449"/>
      <c r="L39" s="1289"/>
      <c r="M39" s="91"/>
      <c r="O39" s="479"/>
      <c r="P39" s="96"/>
      <c r="Q39" s="96"/>
      <c r="R39" s="96"/>
      <c r="S39" s="1271"/>
      <c r="T39" s="1279"/>
    </row>
    <row r="40" spans="1:23" ht="13.5" customHeight="1">
      <c r="A40" s="451" t="s">
        <v>290</v>
      </c>
      <c r="B40" s="466" t="s">
        <v>292</v>
      </c>
      <c r="C40" s="1171" t="s">
        <v>1358</v>
      </c>
      <c r="D40" s="474"/>
      <c r="E40" s="474"/>
      <c r="F40" s="474"/>
      <c r="G40" s="474"/>
      <c r="H40" s="474"/>
      <c r="I40" s="480"/>
      <c r="K40" s="449"/>
      <c r="L40" s="1289"/>
      <c r="M40" s="449"/>
      <c r="N40" s="443"/>
      <c r="O40" s="207"/>
      <c r="P40" s="96"/>
      <c r="Q40" s="96"/>
      <c r="R40" s="96"/>
      <c r="S40" s="96"/>
      <c r="T40" s="96"/>
    </row>
    <row r="41" spans="1:23" ht="13.5" customHeight="1">
      <c r="A41" s="455"/>
      <c r="B41" s="478"/>
      <c r="C41" s="481" t="s">
        <v>1111</v>
      </c>
      <c r="D41" s="1286"/>
      <c r="E41" s="1286"/>
      <c r="F41" s="1286"/>
      <c r="G41" s="1286"/>
      <c r="H41" s="1286"/>
      <c r="I41" s="480"/>
      <c r="J41" s="1173">
        <f>Calculations!R100</f>
        <v>0</v>
      </c>
      <c r="K41" s="449"/>
      <c r="L41" s="1289"/>
      <c r="M41" s="449"/>
      <c r="O41" s="443"/>
      <c r="P41" s="304"/>
      <c r="Q41" s="96"/>
      <c r="R41" s="96"/>
      <c r="S41" s="96"/>
      <c r="T41" s="96"/>
    </row>
    <row r="42" spans="1:23" ht="12.75" customHeight="1">
      <c r="A42" s="482"/>
      <c r="B42" s="466" t="s">
        <v>293</v>
      </c>
      <c r="C42" s="481" t="s">
        <v>1112</v>
      </c>
      <c r="D42" s="1286"/>
      <c r="E42" s="1286"/>
      <c r="F42" s="1286"/>
      <c r="G42" s="1286"/>
      <c r="H42" s="1286"/>
      <c r="I42" s="480"/>
      <c r="J42" s="35"/>
      <c r="K42" s="483"/>
      <c r="L42" s="1289"/>
      <c r="M42" s="449"/>
      <c r="O42" s="475"/>
      <c r="P42" s="475"/>
      <c r="Q42" s="96"/>
      <c r="R42" s="96"/>
      <c r="S42" s="96"/>
      <c r="T42" s="96"/>
    </row>
    <row r="43" spans="1:23" ht="12.75" customHeight="1">
      <c r="A43" s="484" t="s">
        <v>290</v>
      </c>
      <c r="B43" s="466" t="s">
        <v>294</v>
      </c>
      <c r="C43" s="1690" t="s">
        <v>1113</v>
      </c>
      <c r="D43" s="1690"/>
      <c r="E43" s="1690"/>
      <c r="F43" s="1690"/>
      <c r="G43" s="1690"/>
      <c r="H43" s="1690"/>
      <c r="I43" s="1690"/>
      <c r="J43" s="43"/>
      <c r="K43" s="449"/>
      <c r="L43" s="1289"/>
      <c r="M43" s="449"/>
    </row>
    <row r="44" spans="1:23" ht="24" customHeight="1">
      <c r="A44" s="485" t="s">
        <v>295</v>
      </c>
      <c r="B44" s="1689" t="s">
        <v>296</v>
      </c>
      <c r="C44" s="1689"/>
      <c r="D44" s="1689"/>
      <c r="E44" s="1689"/>
      <c r="F44" s="1689"/>
      <c r="G44" s="1689"/>
      <c r="H44" s="1689"/>
      <c r="I44" s="1689"/>
      <c r="J44" s="486"/>
      <c r="K44" s="449"/>
      <c r="L44" s="1289"/>
      <c r="M44" s="449"/>
    </row>
    <row r="45" spans="1:23" ht="12.75" customHeight="1">
      <c r="A45" s="487"/>
      <c r="B45" s="1288" t="s">
        <v>275</v>
      </c>
      <c r="C45" s="1312" t="s">
        <v>966</v>
      </c>
      <c r="D45" s="1288"/>
      <c r="E45" s="1288"/>
      <c r="F45" s="1288"/>
      <c r="G45" s="1288"/>
      <c r="H45" s="1288"/>
      <c r="I45" s="488"/>
      <c r="J45" s="489"/>
      <c r="K45" s="449"/>
      <c r="L45" s="1289"/>
      <c r="M45" s="449"/>
    </row>
    <row r="46" spans="1:23" ht="12.75" customHeight="1">
      <c r="A46" s="487"/>
      <c r="B46" s="1288"/>
      <c r="C46" s="1681"/>
      <c r="D46" s="1681"/>
      <c r="E46" s="1681"/>
      <c r="F46" s="1681"/>
      <c r="G46" s="1681"/>
      <c r="H46" s="1288"/>
      <c r="I46" s="488"/>
      <c r="J46" s="46"/>
      <c r="K46" s="1289"/>
      <c r="L46" s="449"/>
    </row>
    <row r="47" spans="1:23" ht="12.75" customHeight="1">
      <c r="A47" s="487"/>
      <c r="B47" s="1288" t="s">
        <v>276</v>
      </c>
      <c r="C47" s="1312" t="s">
        <v>1114</v>
      </c>
      <c r="D47" s="1312"/>
      <c r="E47" s="1312"/>
      <c r="F47" s="1312"/>
      <c r="G47" s="1288"/>
      <c r="H47" s="1288"/>
      <c r="I47" s="488"/>
      <c r="J47" s="47"/>
      <c r="K47" s="449"/>
      <c r="L47" s="1289"/>
      <c r="M47" s="449"/>
    </row>
    <row r="48" spans="1:23" ht="12.75" customHeight="1">
      <c r="A48" s="487"/>
      <c r="B48" s="491" t="s">
        <v>277</v>
      </c>
      <c r="C48" s="1312" t="s">
        <v>1115</v>
      </c>
      <c r="D48" s="1312"/>
      <c r="E48" s="1312"/>
      <c r="F48" s="1312"/>
      <c r="G48" s="1312"/>
      <c r="H48" s="1288"/>
      <c r="I48" s="488"/>
      <c r="J48" s="47"/>
      <c r="K48" s="449"/>
      <c r="L48" s="1289"/>
      <c r="M48" s="449"/>
    </row>
    <row r="49" spans="1:23" ht="12" hidden="1">
      <c r="A49" s="487"/>
      <c r="B49" s="1288"/>
      <c r="C49" s="1312"/>
      <c r="D49" s="1312"/>
      <c r="E49" s="1288"/>
      <c r="F49" s="1288"/>
      <c r="G49" s="1288"/>
      <c r="H49" s="1288"/>
      <c r="I49" s="488"/>
      <c r="J49" s="57"/>
      <c r="K49" s="1289"/>
      <c r="L49" s="449"/>
    </row>
    <row r="50" spans="1:23" ht="12.75" customHeight="1">
      <c r="A50" s="487"/>
      <c r="B50" s="493" t="s">
        <v>286</v>
      </c>
      <c r="C50" s="1312" t="s">
        <v>1116</v>
      </c>
      <c r="D50" s="1312"/>
      <c r="E50" s="1312"/>
      <c r="F50" s="1312"/>
      <c r="G50" s="1288"/>
      <c r="H50" s="1288"/>
      <c r="I50" s="488"/>
      <c r="J50" s="56"/>
      <c r="K50" s="449"/>
      <c r="L50" s="1289"/>
      <c r="M50" s="449"/>
    </row>
    <row r="51" spans="1:23" ht="12.75" customHeight="1">
      <c r="A51" s="487"/>
      <c r="B51" s="1290" t="s">
        <v>291</v>
      </c>
      <c r="C51" s="1312" t="s">
        <v>1117</v>
      </c>
      <c r="D51" s="1288"/>
      <c r="E51" s="1312"/>
      <c r="F51" s="1312"/>
      <c r="G51" s="1288"/>
      <c r="H51" s="1288"/>
      <c r="I51" s="488"/>
      <c r="J51" s="47"/>
      <c r="K51" s="1289"/>
      <c r="L51" s="449"/>
    </row>
    <row r="52" spans="1:23" ht="12.75" customHeight="1">
      <c r="A52" s="487"/>
      <c r="B52" s="1290" t="s">
        <v>292</v>
      </c>
      <c r="C52" s="1312" t="s">
        <v>297</v>
      </c>
      <c r="D52" s="1688"/>
      <c r="E52" s="1688"/>
      <c r="F52" s="1688"/>
      <c r="G52" s="1688"/>
      <c r="H52" s="1312"/>
      <c r="I52" s="488"/>
      <c r="J52" s="47"/>
      <c r="K52" s="449"/>
      <c r="L52" s="1289"/>
      <c r="M52" s="449"/>
    </row>
    <row r="53" spans="1:23" ht="13.5" customHeight="1">
      <c r="A53" s="1481" t="s">
        <v>104</v>
      </c>
      <c r="B53" s="1171" t="s">
        <v>1359</v>
      </c>
      <c r="C53" s="473"/>
      <c r="D53" s="445"/>
      <c r="E53" s="445"/>
      <c r="F53" s="445"/>
      <c r="G53" s="445"/>
      <c r="H53" s="445"/>
      <c r="I53" s="449"/>
      <c r="K53" s="449"/>
      <c r="L53" s="1289" t="s">
        <v>42</v>
      </c>
      <c r="M53" s="449"/>
      <c r="O53" s="494"/>
      <c r="P53" s="1298"/>
      <c r="Q53" s="1298"/>
      <c r="R53" s="1298"/>
      <c r="S53" s="1298"/>
      <c r="T53" s="1298"/>
    </row>
    <row r="54" spans="1:23" ht="14.25" customHeight="1" thickBot="1">
      <c r="A54" s="1513"/>
      <c r="B54" s="1482" t="s">
        <v>961</v>
      </c>
      <c r="C54" s="1483"/>
      <c r="D54" s="445"/>
      <c r="E54" s="1289"/>
      <c r="F54" s="1289"/>
      <c r="G54" s="1289"/>
      <c r="H54" s="1289"/>
      <c r="I54" s="447" t="s">
        <v>273</v>
      </c>
      <c r="J54" s="1174">
        <f>SUM(J10:J43)+SUM(J46:J52)</f>
        <v>1427837</v>
      </c>
      <c r="K54" s="449"/>
      <c r="L54" s="1289"/>
      <c r="M54" s="449"/>
      <c r="O54" s="96"/>
      <c r="P54" s="96"/>
      <c r="Q54" s="96"/>
      <c r="R54" s="495"/>
      <c r="S54" s="443"/>
      <c r="T54" s="443"/>
      <c r="U54" s="443"/>
      <c r="V54" s="443"/>
    </row>
    <row r="55" spans="1:23" ht="12.75" customHeight="1" thickTop="1">
      <c r="A55" s="1484" t="s">
        <v>105</v>
      </c>
      <c r="B55" s="444" t="s">
        <v>1198</v>
      </c>
      <c r="C55" s="1485"/>
      <c r="D55" s="443"/>
      <c r="E55" s="443"/>
      <c r="F55" s="443"/>
      <c r="G55" s="443"/>
      <c r="H55" s="443"/>
      <c r="J55" s="449"/>
      <c r="K55" s="449"/>
      <c r="L55" s="1289"/>
      <c r="O55" s="1299"/>
      <c r="P55" s="1299"/>
      <c r="Q55" s="1299"/>
      <c r="R55" s="1299"/>
      <c r="S55" s="1299"/>
      <c r="T55" s="1299"/>
      <c r="U55" s="1298"/>
      <c r="V55" s="496"/>
    </row>
    <row r="56" spans="1:23" ht="12.75" customHeight="1" thickBot="1">
      <c r="A56" s="497"/>
      <c r="B56" s="96" t="s">
        <v>298</v>
      </c>
      <c r="C56" s="443"/>
      <c r="D56" s="443"/>
      <c r="E56" s="443"/>
      <c r="F56" s="443"/>
      <c r="G56" s="443"/>
      <c r="H56" s="443"/>
      <c r="I56" s="447"/>
      <c r="J56" s="498"/>
      <c r="K56" s="449"/>
      <c r="L56" s="447" t="s">
        <v>273</v>
      </c>
      <c r="M56" s="1175">
        <f>SUM(M10:M39)</f>
        <v>76482</v>
      </c>
      <c r="P56" s="96"/>
      <c r="Q56" s="1271"/>
      <c r="R56" s="1279"/>
      <c r="U56" s="443"/>
      <c r="V56" s="443"/>
    </row>
    <row r="57" spans="1:23" ht="13.5" customHeight="1" thickTop="1">
      <c r="A57" s="499"/>
      <c r="B57" s="456"/>
      <c r="C57" s="1289"/>
      <c r="D57" s="1289"/>
      <c r="E57" s="1289"/>
      <c r="F57" s="1289"/>
      <c r="G57" s="1289"/>
      <c r="H57" s="1289"/>
      <c r="I57" s="447"/>
      <c r="J57" s="1289"/>
      <c r="K57" s="449"/>
      <c r="L57" s="1289"/>
      <c r="M57" s="449"/>
      <c r="P57" s="295"/>
      <c r="Q57" s="500"/>
      <c r="R57" s="1279"/>
      <c r="U57" s="1624"/>
      <c r="V57" s="1687"/>
    </row>
    <row r="58" spans="1:23" ht="13.5" customHeight="1">
      <c r="A58" s="428" t="s">
        <v>290</v>
      </c>
      <c r="B58" s="501" t="s">
        <v>1118</v>
      </c>
      <c r="C58" s="96"/>
      <c r="D58" s="445"/>
      <c r="E58" s="445"/>
      <c r="F58" s="96"/>
      <c r="G58" s="445"/>
      <c r="H58" s="445"/>
      <c r="I58" s="445"/>
      <c r="J58" s="445"/>
      <c r="K58" s="445"/>
      <c r="L58" s="445"/>
      <c r="M58" s="295"/>
      <c r="P58" s="502"/>
      <c r="Q58" s="1271"/>
      <c r="R58" s="1279"/>
      <c r="U58" s="1624"/>
      <c r="V58" s="1624"/>
    </row>
    <row r="59" spans="1:23" ht="12" customHeight="1">
      <c r="A59" s="428"/>
      <c r="B59" s="456"/>
      <c r="C59" s="295"/>
      <c r="D59" s="1289"/>
      <c r="E59" s="1289"/>
      <c r="F59" s="1289"/>
      <c r="G59" s="1289"/>
      <c r="H59" s="1289"/>
      <c r="I59" s="1289"/>
      <c r="J59" s="1289"/>
      <c r="K59" s="1289"/>
      <c r="L59" s="1289"/>
      <c r="M59" s="295"/>
      <c r="P59" s="96"/>
      <c r="Q59" s="120"/>
      <c r="R59" s="1279"/>
      <c r="W59" s="1297"/>
    </row>
    <row r="60" spans="1:23" ht="12.75" customHeight="1">
      <c r="A60" s="503"/>
      <c r="B60" s="295"/>
      <c r="C60" s="1289"/>
      <c r="D60" s="1289"/>
      <c r="E60" s="1289"/>
      <c r="F60" s="1289"/>
      <c r="G60" s="1289"/>
      <c r="H60" s="1289"/>
      <c r="I60" s="1289"/>
      <c r="J60" s="1289"/>
      <c r="K60" s="1289"/>
      <c r="L60" s="1289"/>
      <c r="M60" s="295"/>
      <c r="P60" s="207"/>
      <c r="Q60" s="504"/>
      <c r="R60" s="505"/>
    </row>
    <row r="61" spans="1:23" ht="12.75" customHeight="1">
      <c r="A61" s="506"/>
      <c r="D61" s="507"/>
      <c r="E61" s="507"/>
      <c r="F61" s="507"/>
      <c r="G61" s="507"/>
      <c r="H61" s="507"/>
      <c r="I61" s="507"/>
      <c r="J61" s="507"/>
      <c r="K61" s="507"/>
      <c r="L61" s="507"/>
      <c r="M61" s="507"/>
      <c r="P61" s="96"/>
    </row>
    <row r="62" spans="1:23" ht="12.75" customHeight="1">
      <c r="A62" s="506"/>
      <c r="B62" s="507"/>
      <c r="C62" s="507"/>
      <c r="D62" s="507"/>
      <c r="E62" s="507"/>
      <c r="F62" s="507"/>
      <c r="G62" s="507"/>
      <c r="H62" s="507"/>
      <c r="I62" s="507"/>
      <c r="J62" s="507"/>
      <c r="K62" s="507"/>
      <c r="L62" s="507"/>
      <c r="M62" s="507"/>
      <c r="O62" s="96"/>
      <c r="P62" s="96"/>
      <c r="Q62" s="96"/>
      <c r="R62" s="96"/>
      <c r="T62" s="96"/>
    </row>
    <row r="63" spans="1:23" ht="12.75" customHeight="1">
      <c r="A63" s="501"/>
      <c r="B63" s="507"/>
      <c r="C63" s="507"/>
      <c r="D63" s="507"/>
      <c r="E63" s="507"/>
      <c r="F63" s="507"/>
      <c r="G63" s="507"/>
      <c r="H63" s="507"/>
      <c r="I63" s="507"/>
      <c r="J63" s="507"/>
      <c r="K63" s="507"/>
      <c r="L63" s="507"/>
      <c r="M63" s="507"/>
    </row>
    <row r="64" spans="1:23" ht="11.25" customHeight="1">
      <c r="A64" s="508"/>
      <c r="B64" s="507"/>
      <c r="C64" s="507"/>
      <c r="D64" s="507"/>
      <c r="E64" s="507"/>
      <c r="F64" s="507"/>
      <c r="G64" s="507"/>
      <c r="H64" s="507"/>
      <c r="I64" s="507"/>
      <c r="J64" s="507"/>
      <c r="K64" s="507"/>
      <c r="L64" s="507"/>
      <c r="M64" s="507"/>
    </row>
    <row r="65" spans="1:22" ht="12.75" customHeight="1">
      <c r="A65" s="509"/>
      <c r="B65" s="1285"/>
      <c r="C65" s="1285"/>
      <c r="D65" s="1285"/>
      <c r="E65" s="1285"/>
      <c r="F65" s="1285"/>
      <c r="G65" s="1285"/>
      <c r="H65" s="1285"/>
      <c r="I65" s="1285"/>
      <c r="J65" s="1285"/>
      <c r="K65" s="1285"/>
      <c r="L65" s="1285"/>
      <c r="M65" s="1285"/>
      <c r="U65" s="96"/>
      <c r="V65" s="443"/>
    </row>
    <row r="66" spans="1:22" ht="53.25" customHeight="1">
      <c r="A66" s="510"/>
      <c r="B66" s="1307"/>
      <c r="C66" s="1307"/>
      <c r="D66" s="1307"/>
      <c r="E66" s="1307"/>
      <c r="F66" s="1307"/>
      <c r="G66" s="1307"/>
      <c r="H66" s="1307"/>
      <c r="I66" s="1307"/>
      <c r="J66" s="1307"/>
      <c r="K66" s="1307"/>
      <c r="L66" s="1307"/>
      <c r="M66" s="1307"/>
    </row>
    <row r="67" spans="1:22" ht="10.5" customHeight="1">
      <c r="A67" s="511"/>
      <c r="B67" s="512"/>
      <c r="C67" s="512"/>
      <c r="D67" s="512"/>
      <c r="E67" s="512"/>
      <c r="F67" s="512"/>
      <c r="G67" s="512"/>
      <c r="H67" s="512"/>
      <c r="I67" s="512"/>
      <c r="J67" s="512"/>
      <c r="K67" s="512"/>
      <c r="L67" s="512"/>
      <c r="M67" s="512"/>
    </row>
    <row r="68" spans="1:22" ht="4.5" customHeight="1">
      <c r="A68" s="513"/>
      <c r="B68" s="1285"/>
      <c r="C68" s="1285"/>
      <c r="D68" s="1285"/>
      <c r="E68" s="1285"/>
      <c r="F68" s="1285"/>
      <c r="G68" s="1285"/>
      <c r="H68" s="1285"/>
      <c r="I68" s="1285"/>
      <c r="J68" s="1285"/>
      <c r="K68" s="1285"/>
      <c r="L68" s="1285"/>
      <c r="M68" s="1285"/>
    </row>
    <row r="69" spans="1:22" ht="24" customHeight="1">
      <c r="A69" s="514"/>
      <c r="B69" s="507"/>
      <c r="C69" s="507"/>
      <c r="D69" s="507"/>
      <c r="E69" s="507"/>
      <c r="F69" s="507"/>
      <c r="G69" s="507"/>
      <c r="H69" s="507"/>
      <c r="I69" s="507"/>
      <c r="J69" s="507"/>
      <c r="K69" s="507"/>
      <c r="L69" s="507"/>
      <c r="M69" s="507"/>
    </row>
    <row r="70" spans="1:22" ht="27.75" customHeight="1">
      <c r="A70" s="445"/>
      <c r="B70" s="445"/>
      <c r="C70" s="434"/>
      <c r="D70" s="434"/>
      <c r="E70" s="434"/>
      <c r="F70" s="434"/>
      <c r="G70" s="515"/>
      <c r="H70" s="96"/>
      <c r="I70" s="445"/>
      <c r="J70" s="445"/>
      <c r="K70" s="445"/>
      <c r="L70" s="445"/>
      <c r="M70" s="96"/>
    </row>
    <row r="71" spans="1:22" ht="25.5" customHeight="1">
      <c r="A71" s="514"/>
      <c r="B71" s="507"/>
      <c r="C71" s="507"/>
      <c r="D71" s="507"/>
      <c r="E71" s="507"/>
      <c r="F71" s="507"/>
      <c r="G71" s="507"/>
      <c r="H71" s="507"/>
      <c r="I71" s="507"/>
      <c r="J71" s="507"/>
      <c r="K71" s="507"/>
      <c r="L71" s="507"/>
      <c r="M71" s="507"/>
    </row>
    <row r="72" spans="1:22" ht="12.75" customHeight="1">
      <c r="A72" s="510"/>
      <c r="B72" s="1307"/>
      <c r="C72" s="1307"/>
      <c r="D72" s="1307"/>
      <c r="E72" s="1307"/>
      <c r="F72" s="1307"/>
      <c r="G72" s="1307"/>
      <c r="H72" s="1307"/>
      <c r="I72" s="1307"/>
      <c r="J72" s="1307"/>
      <c r="K72" s="1307"/>
      <c r="L72" s="1307"/>
      <c r="M72" s="1307"/>
    </row>
  </sheetData>
  <sheetProtection sheet="1" formatCells="0" formatColumns="0" formatRows="0"/>
  <mergeCells count="25">
    <mergeCell ref="D1:E1"/>
    <mergeCell ref="G1:I1"/>
    <mergeCell ref="I22:I23"/>
    <mergeCell ref="A3:M3"/>
    <mergeCell ref="B22:H23"/>
    <mergeCell ref="C15:F15"/>
    <mergeCell ref="C12:F12"/>
    <mergeCell ref="C14:F14"/>
    <mergeCell ref="C16:F16"/>
    <mergeCell ref="B6:D7"/>
    <mergeCell ref="U58:V58"/>
    <mergeCell ref="C39:I39"/>
    <mergeCell ref="C34:I34"/>
    <mergeCell ref="C35:H35"/>
    <mergeCell ref="U57:V57"/>
    <mergeCell ref="D52:G52"/>
    <mergeCell ref="B44:I44"/>
    <mergeCell ref="C43:I43"/>
    <mergeCell ref="N9:S10"/>
    <mergeCell ref="N15:S17"/>
    <mergeCell ref="B18:I18"/>
    <mergeCell ref="C46:G46"/>
    <mergeCell ref="N37:S38"/>
    <mergeCell ref="O22:U23"/>
    <mergeCell ref="B32:H32"/>
  </mergeCells>
  <conditionalFormatting sqref="M10">
    <cfRule type="containsText" dxfId="24" priority="4" stopIfTrue="1" operator="containsText" text="Error">
      <formula>NOT(ISERROR(SEARCH("Error",M10)))</formula>
    </cfRule>
  </conditionalFormatting>
  <conditionalFormatting sqref="M17">
    <cfRule type="containsText" dxfId="23" priority="3" stopIfTrue="1" operator="containsText" text="error">
      <formula>NOT(ISERROR(SEARCH("error",M17)))</formula>
    </cfRule>
  </conditionalFormatting>
  <dataValidations xWindow="636" yWindow="692" count="7">
    <dataValidation type="whole" operator="lessThanOrEqual" allowBlank="1" showInputMessage="1" showErrorMessage="1" error="This amount must be negative." prompt="This amount must be negative. Enter amount in parentheses." sqref="J46:J47" xr:uid="{00000000-0002-0000-0800-000000000000}">
      <formula1>0</formula1>
    </dataValidation>
    <dataValidation allowBlank="1" showInputMessage="1" showErrorMessage="1" prompt="Enter negative amount in parentheses." sqref="J50:J51" xr:uid="{00000000-0002-0000-0800-000001000000}"/>
    <dataValidation allowBlank="1" showInputMessage="1" showErrorMessage="1" promptTitle="Contact ADE prior to completing" prompt="Please contact ADE's School Finance payment team for more information." sqref="J42" xr:uid="{00000000-0002-0000-0800-000002000000}"/>
    <dataValidation type="list" allowBlank="1" showInputMessage="1" showErrorMessage="1" sqref="T38" xr:uid="{00000000-0002-0000-0800-000003000000}">
      <formula1>"X"</formula1>
    </dataValidation>
    <dataValidation type="custom" allowBlank="1" showErrorMessage="1" errorTitle="DAA allocatoin" error="The DAA amount allocated to the M&amp;O Fund exceeds the total DAA amount. " sqref="J17" xr:uid="{00000000-0002-0000-0800-000004000000}">
      <formula1>J17&lt;=H17</formula1>
    </dataValidation>
    <dataValidation type="custom" allowBlank="1" showInputMessage="1" showErrorMessage="1" errorTitle="RCL allocation" error="The RCL amount allocated to M&amp;O Fund exceeds the total RCL amount." sqref="J10" xr:uid="{00000000-0002-0000-0800-000005000000}">
      <formula1>J10&lt;=H10</formula1>
    </dataValidation>
    <dataValidation allowBlank="1" showInputMessage="1" showErrorMessage="1" promptTitle="Contact ADE prior to completing" prompt="Enter negative amount in parentheses." sqref="J52" xr:uid="{00000000-0002-0000-0800-000006000000}"/>
  </dataValidations>
  <hyperlinks>
    <hyperlink ref="A9" location="Page7l1" display="1." xr:uid="{00000000-0004-0000-0800-000000000000}"/>
    <hyperlink ref="A18" location="Page7l3" display="3." xr:uid="{00000000-0004-0000-0800-000001000000}"/>
    <hyperlink ref="B19" location="Page7l3a" display="(a)" xr:uid="{00000000-0004-0000-0800-000002000000}"/>
    <hyperlink ref="B20" location="Page7l3b" display="(b)" xr:uid="{00000000-0004-0000-0800-000003000000}"/>
    <hyperlink ref="B21" location="Page7l3c" display="(c)" xr:uid="{00000000-0004-0000-0800-000004000000}"/>
    <hyperlink ref="A22" location="Page7l4" display="*4." xr:uid="{00000000-0004-0000-0800-000005000000}"/>
    <hyperlink ref="A24" location="Page7l5" display="*5." xr:uid="{00000000-0004-0000-0800-000006000000}"/>
    <hyperlink ref="B29" location="Page7l5d" display="(d)" xr:uid="{00000000-0004-0000-0800-000007000000}"/>
    <hyperlink ref="A31" location="Page7l7" display="*7." xr:uid="{00000000-0004-0000-0800-000008000000}"/>
    <hyperlink ref="B34" location="Page7l8a" display="(a)" xr:uid="{00000000-0004-0000-0800-000009000000}"/>
    <hyperlink ref="A30" location="Page7l6" display="*6." xr:uid="{00000000-0004-0000-0800-00000A000000}"/>
    <hyperlink ref="B15" location="Page7l2b" display="(b)" xr:uid="{00000000-0004-0000-0800-00000B000000}"/>
    <hyperlink ref="A44" location="Page7l9" display="*9." xr:uid="{00000000-0004-0000-0800-00000C000000}"/>
    <hyperlink ref="A14" location="Page7l2athroughb" display="2." xr:uid="{00000000-0004-0000-0800-00000D000000}"/>
    <hyperlink ref="B43" location="Page7l8h" display="(h)" xr:uid="{00000000-0004-0000-0800-00000E000000}"/>
    <hyperlink ref="B14" location="Page7l2athroughb" display="(a)" xr:uid="{00000000-0004-0000-0800-00000F000000}"/>
    <hyperlink ref="B17" location="Page7l2athroughb" display="(c)" xr:uid="{00000000-0004-0000-0800-000010000000}"/>
    <hyperlink ref="B35" location="Page7l8b" display="(b)" xr:uid="{00000000-0004-0000-0800-000011000000}"/>
    <hyperlink ref="B36" location="Page7l8c" display="(c)" xr:uid="{00000000-0004-0000-0800-000012000000}"/>
    <hyperlink ref="B37" location="Page7l8d" display="(d)" xr:uid="{00000000-0004-0000-0800-000013000000}"/>
    <hyperlink ref="B39" location="Page7l8e" display="(e)" xr:uid="{00000000-0004-0000-0800-000014000000}"/>
    <hyperlink ref="B40" location="Page7l8f" display="(f)" xr:uid="{00000000-0004-0000-0800-000015000000}"/>
    <hyperlink ref="B42" location="Page7l8g" display="(g)" xr:uid="{00000000-0004-0000-0800-000016000000}"/>
    <hyperlink ref="B6" location="Page7Gen" display="Instructions" xr:uid="{00000000-0004-0000-0800-00001A000000}"/>
  </hyperlinks>
  <printOptions horizontalCentered="1"/>
  <pageMargins left="0.25" right="0.25" top="0.25" bottom="0.25" header="0" footer="0.15"/>
  <pageSetup paperSize="5" scale="93" orientation="portrait" r:id="rId1"/>
  <headerFooter alignWithMargins="0">
    <oddFooter>&amp;L&amp;"Times New Roman,Bold"&amp;9Rev. 5/26&amp;K000000 Arizona Department of Education and Auditor General&amp;C&amp;"Times New Roman,Regular"&amp;9&amp;D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V108"/>
  <sheetViews>
    <sheetView showGridLines="0" zoomScaleNormal="100" workbookViewId="0">
      <selection activeCell="K30" sqref="K30"/>
    </sheetView>
  </sheetViews>
  <sheetFormatPr defaultColWidth="8.81640625" defaultRowHeight="13.2"/>
  <cols>
    <col min="1" max="3" width="2" style="134" customWidth="1"/>
    <col min="4" max="4" width="8.81640625" style="134" customWidth="1"/>
    <col min="5" max="5" width="23.453125" style="134" customWidth="1"/>
    <col min="6" max="7" width="10.81640625" style="134" customWidth="1"/>
    <col min="8" max="8" width="12.453125" style="134" customWidth="1"/>
    <col min="9" max="9" width="1.81640625" style="134" customWidth="1"/>
    <col min="10" max="10" width="1" style="134" customWidth="1"/>
    <col min="11" max="11" width="11.81640625" style="134" customWidth="1"/>
    <col min="12" max="12" width="10.81640625" style="134" customWidth="1"/>
    <col min="13" max="28" width="8.81640625" style="134" customWidth="1"/>
    <col min="29" max="16384" width="8.81640625" style="134"/>
  </cols>
  <sheetData>
    <row r="1" spans="1:11">
      <c r="A1" s="1136" t="s">
        <v>299</v>
      </c>
      <c r="B1" s="1137"/>
      <c r="C1" s="1137"/>
      <c r="D1" s="1137"/>
      <c r="E1" s="516" t="str">
        <f>DistrictName</f>
        <v>Pomerene Elementary School District</v>
      </c>
      <c r="F1" s="1138" t="s">
        <v>1</v>
      </c>
      <c r="G1" s="516" t="str">
        <f>Cover!H1</f>
        <v>Cochise</v>
      </c>
      <c r="I1" s="1139"/>
      <c r="J1" s="1139" t="s">
        <v>57</v>
      </c>
      <c r="K1" s="517" t="str">
        <f>Cover!S1</f>
        <v>020364000</v>
      </c>
    </row>
    <row r="2" spans="1:11" ht="12.75" customHeight="1">
      <c r="A2" s="518"/>
      <c r="B2" s="1707" t="s">
        <v>691</v>
      </c>
      <c r="C2" s="1707"/>
      <c r="D2" s="1707"/>
      <c r="E2" s="138"/>
      <c r="F2" s="138"/>
      <c r="G2" s="138"/>
      <c r="H2" s="138"/>
      <c r="I2" s="138"/>
      <c r="J2" s="1270" t="s">
        <v>16</v>
      </c>
      <c r="K2" s="519" t="str">
        <f>Cover!C8</f>
        <v>Proposed</v>
      </c>
    </row>
    <row r="3" spans="1:11" ht="18" customHeight="1">
      <c r="A3" s="1708" t="s">
        <v>1345</v>
      </c>
      <c r="B3" s="1709"/>
      <c r="C3" s="1709"/>
      <c r="D3" s="1709"/>
      <c r="E3" s="1709"/>
      <c r="F3" s="1709"/>
      <c r="G3" s="1709"/>
      <c r="H3" s="1709"/>
      <c r="I3" s="1709"/>
      <c r="J3" s="1709"/>
      <c r="K3" s="1709"/>
    </row>
    <row r="4" spans="1:11" ht="13.5" customHeight="1">
      <c r="A4" s="1709"/>
      <c r="B4" s="1709"/>
      <c r="C4" s="1709"/>
      <c r="D4" s="1709"/>
      <c r="E4" s="1709"/>
      <c r="F4" s="1709"/>
      <c r="G4" s="1709"/>
      <c r="H4" s="1709"/>
      <c r="I4" s="1709"/>
      <c r="J4" s="1709"/>
      <c r="K4" s="1709"/>
    </row>
    <row r="5" spans="1:11" ht="5.25" customHeight="1">
      <c r="A5" s="520"/>
      <c r="B5" s="521"/>
      <c r="C5" s="521"/>
      <c r="D5" s="521"/>
      <c r="E5" s="138"/>
      <c r="F5" s="138"/>
      <c r="G5" s="138"/>
      <c r="H5" s="138"/>
      <c r="I5" s="138"/>
      <c r="J5" s="138"/>
      <c r="K5" s="138"/>
    </row>
    <row r="6" spans="1:11" ht="30.75" customHeight="1">
      <c r="A6" s="1473" t="s">
        <v>300</v>
      </c>
      <c r="B6" s="522"/>
      <c r="C6" s="522"/>
      <c r="D6" s="523"/>
      <c r="E6" s="524"/>
      <c r="F6" s="524"/>
      <c r="G6" s="524"/>
      <c r="H6" s="524"/>
      <c r="I6" s="524"/>
      <c r="J6" s="524"/>
      <c r="K6" s="525"/>
    </row>
    <row r="7" spans="1:11" ht="12" customHeight="1">
      <c r="A7" s="526"/>
      <c r="B7" s="527" t="s">
        <v>6</v>
      </c>
      <c r="C7" s="528" t="s">
        <v>1346</v>
      </c>
      <c r="E7" s="209"/>
      <c r="F7" s="209"/>
      <c r="G7" s="209"/>
      <c r="H7" s="209"/>
      <c r="I7" s="524"/>
      <c r="J7" s="524"/>
    </row>
    <row r="8" spans="1:11" ht="12.75" customHeight="1">
      <c r="C8" s="1710" t="s">
        <v>1347</v>
      </c>
      <c r="D8" s="1710"/>
      <c r="E8" s="1710"/>
      <c r="F8" s="1710"/>
      <c r="G8" s="1710"/>
      <c r="H8" s="1710"/>
      <c r="J8" s="1305" t="s">
        <v>273</v>
      </c>
      <c r="K8" s="532">
        <f>[1]!UCBLBudgFY</f>
        <v>221657</v>
      </c>
    </row>
    <row r="9" spans="1:11" ht="14.25" customHeight="1">
      <c r="B9" s="529" t="s">
        <v>8</v>
      </c>
      <c r="C9" s="528" t="s">
        <v>1119</v>
      </c>
      <c r="J9" s="1305"/>
      <c r="K9" s="531"/>
    </row>
    <row r="10" spans="1:11" ht="12.75" customHeight="1">
      <c r="C10" s="1710" t="s">
        <v>301</v>
      </c>
      <c r="D10" s="1710"/>
      <c r="E10" s="1710"/>
      <c r="F10" s="1710"/>
      <c r="G10" s="1710"/>
      <c r="H10" s="1710"/>
      <c r="J10" s="1305" t="s">
        <v>273</v>
      </c>
      <c r="K10" s="23"/>
    </row>
    <row r="11" spans="1:11" ht="14.25" customHeight="1">
      <c r="B11" s="529" t="s">
        <v>22</v>
      </c>
      <c r="C11" s="1710" t="s">
        <v>1348</v>
      </c>
      <c r="D11" s="1711"/>
      <c r="E11" s="1711"/>
      <c r="F11" s="1711"/>
      <c r="G11" s="1711"/>
      <c r="H11" s="1711"/>
      <c r="J11" s="1305" t="s">
        <v>273</v>
      </c>
      <c r="K11" s="533">
        <f>K8+K10</f>
        <v>221657</v>
      </c>
    </row>
    <row r="12" spans="1:11" ht="14.25" customHeight="1">
      <c r="B12" s="527" t="s">
        <v>40</v>
      </c>
      <c r="C12" s="1700" t="s">
        <v>1394</v>
      </c>
      <c r="D12" s="1700"/>
      <c r="E12" s="1700"/>
      <c r="F12" s="1700"/>
      <c r="G12" s="1700"/>
      <c r="H12" s="1700"/>
      <c r="J12" s="1305"/>
      <c r="K12" s="1294"/>
    </row>
    <row r="13" spans="1:11" ht="14.25" customHeight="1">
      <c r="B13" s="527"/>
      <c r="C13" s="1700" t="s">
        <v>1393</v>
      </c>
      <c r="D13" s="1700"/>
      <c r="E13" s="1700"/>
      <c r="F13" s="1700"/>
      <c r="G13" s="1700"/>
      <c r="H13" s="1700"/>
      <c r="J13" s="1305" t="s">
        <v>273</v>
      </c>
      <c r="K13" s="1294">
        <f>'[1]Page 4'!$L$21</f>
        <v>221657</v>
      </c>
    </row>
    <row r="14" spans="1:11" ht="14.25" customHeight="1">
      <c r="B14" s="527" t="s">
        <v>98</v>
      </c>
      <c r="C14" s="1712" t="s">
        <v>302</v>
      </c>
      <c r="D14" s="1712"/>
      <c r="E14" s="1712"/>
      <c r="F14" s="1712"/>
      <c r="G14" s="1712"/>
      <c r="H14" s="1712"/>
      <c r="J14" s="1305" t="s">
        <v>273</v>
      </c>
      <c r="K14" s="534">
        <f>IF(K10&gt;0,MIN(K13+K10,K11),MIN(K11,K13))</f>
        <v>221657</v>
      </c>
    </row>
    <row r="15" spans="1:11" ht="14.25" customHeight="1">
      <c r="B15" s="535" t="s">
        <v>99</v>
      </c>
      <c r="C15" s="1713" t="s">
        <v>1349</v>
      </c>
      <c r="D15" s="1713"/>
      <c r="E15" s="1713"/>
      <c r="F15" s="1713"/>
      <c r="G15" s="1713"/>
      <c r="H15" s="1713"/>
      <c r="J15" s="1305"/>
      <c r="K15" s="1294"/>
    </row>
    <row r="16" spans="1:11" ht="14.25" customHeight="1">
      <c r="B16" s="527"/>
      <c r="C16" s="1714" t="s">
        <v>303</v>
      </c>
      <c r="D16" s="1714"/>
      <c r="E16" s="1714"/>
      <c r="F16" s="1714"/>
      <c r="G16" s="1714"/>
      <c r="H16" s="1714"/>
      <c r="J16" s="1305" t="s">
        <v>273</v>
      </c>
      <c r="K16" s="92">
        <v>90791</v>
      </c>
    </row>
    <row r="17" spans="1:22" ht="14.25" customHeight="1">
      <c r="B17" s="527" t="s">
        <v>100</v>
      </c>
      <c r="C17" s="1714" t="s">
        <v>1024</v>
      </c>
      <c r="D17" s="1714"/>
      <c r="E17" s="1714"/>
      <c r="F17" s="1714"/>
      <c r="G17" s="1714"/>
      <c r="H17" s="1714"/>
    </row>
    <row r="18" spans="1:22" ht="14.25" customHeight="1">
      <c r="B18" s="527"/>
      <c r="C18" s="1293" t="s">
        <v>304</v>
      </c>
      <c r="D18" s="530"/>
      <c r="E18" s="536"/>
      <c r="F18" s="536"/>
      <c r="G18" s="1446" t="str">
        <f>IF((K14-K16)&lt;0,K14-K16,"")</f>
        <v/>
      </c>
      <c r="H18" s="111" t="str">
        <f>IF(G18&lt;0,"OVEREXPENDED"," ")</f>
        <v xml:space="preserve"> </v>
      </c>
      <c r="J18" s="1305" t="s">
        <v>273</v>
      </c>
      <c r="K18" s="532">
        <f>IF(K14-K16&gt;0,K14-K16,0)</f>
        <v>130866</v>
      </c>
    </row>
    <row r="19" spans="1:22" ht="14.25" customHeight="1">
      <c r="A19" s="537"/>
      <c r="B19" s="535" t="s">
        <v>102</v>
      </c>
      <c r="C19" s="1292" t="s">
        <v>1350</v>
      </c>
      <c r="D19" s="528"/>
      <c r="E19" s="138"/>
      <c r="F19" s="536"/>
      <c r="G19" s="536"/>
      <c r="H19" s="536"/>
      <c r="I19" s="536"/>
      <c r="J19" s="1305" t="s">
        <v>273</v>
      </c>
      <c r="K19" s="23">
        <v>8000</v>
      </c>
    </row>
    <row r="20" spans="1:22" ht="13.5" customHeight="1">
      <c r="A20" s="538"/>
      <c r="B20" s="535" t="s">
        <v>103</v>
      </c>
      <c r="C20" s="246" t="s">
        <v>305</v>
      </c>
      <c r="D20" s="528"/>
      <c r="E20" s="539"/>
      <c r="F20" s="539"/>
      <c r="G20" s="539"/>
      <c r="H20" s="539"/>
      <c r="J20" s="1305" t="s">
        <v>273</v>
      </c>
      <c r="K20" s="23"/>
    </row>
    <row r="21" spans="1:22" ht="4.5" customHeight="1">
      <c r="D21" s="528"/>
      <c r="E21" s="528"/>
      <c r="F21" s="528"/>
      <c r="G21" s="528"/>
      <c r="H21" s="528"/>
    </row>
    <row r="22" spans="1:22" ht="27.75" customHeight="1">
      <c r="B22" s="535" t="s">
        <v>104</v>
      </c>
      <c r="C22" s="1716" t="s">
        <v>1351</v>
      </c>
      <c r="D22" s="1716"/>
      <c r="E22" s="1716"/>
      <c r="F22" s="1716"/>
      <c r="G22" s="1716"/>
      <c r="H22" s="1716"/>
      <c r="J22" s="1305"/>
      <c r="K22" s="1715"/>
      <c r="N22" s="475"/>
      <c r="O22" s="443"/>
      <c r="P22" s="443"/>
      <c r="Q22" s="443"/>
      <c r="R22" s="443"/>
      <c r="S22" s="443"/>
      <c r="T22" s="443"/>
      <c r="U22" s="443"/>
      <c r="V22" s="443"/>
    </row>
    <row r="23" spans="1:22" ht="13.5" customHeight="1">
      <c r="B23" s="540"/>
      <c r="C23" s="231" t="s">
        <v>275</v>
      </c>
      <c r="D23" s="1295" t="s">
        <v>966</v>
      </c>
      <c r="E23" s="1295"/>
      <c r="F23" s="1295"/>
      <c r="G23" s="1295"/>
      <c r="H23" s="1295"/>
      <c r="J23" s="1305"/>
      <c r="K23" s="1715"/>
      <c r="N23" s="475"/>
      <c r="O23" s="443"/>
      <c r="P23" s="443"/>
      <c r="Q23" s="443"/>
      <c r="R23" s="443"/>
      <c r="S23" s="443"/>
      <c r="T23" s="443"/>
      <c r="U23" s="443"/>
      <c r="V23" s="443"/>
    </row>
    <row r="24" spans="1:22" ht="13.5" customHeight="1">
      <c r="B24" s="540"/>
      <c r="C24" s="540"/>
      <c r="D24" s="1701"/>
      <c r="E24" s="1701"/>
      <c r="F24" s="1701"/>
      <c r="G24" s="1701"/>
      <c r="H24" s="1295"/>
      <c r="J24" s="1305" t="s">
        <v>273</v>
      </c>
      <c r="K24" s="92"/>
      <c r="L24" s="1706" t="str">
        <f>IF(OR(AND($G$18&lt;&gt;"",$K$24=""),AND($G$18&lt;&gt;"",$K$25=""),AND($G$18&lt;&gt;"",$K$26=""),AND($K$24&lt;&gt;0,ISNUMBER(K24),D24=""),AND(ISNUMBER($K$26),$K$26&lt;&gt;0,$E$26="")),"The district overexpended its prior year Unrestricted Capital Budget Limit. Line 10 must be completed, as instructed by ADE. See instructions for more information on completing Line 10.","")</f>
        <v/>
      </c>
      <c r="M24" s="1706"/>
      <c r="N24" s="1706"/>
      <c r="O24" s="1706"/>
      <c r="P24" s="1706"/>
      <c r="Q24" s="443"/>
      <c r="R24" s="443"/>
      <c r="S24" s="443"/>
      <c r="T24" s="443"/>
      <c r="U24" s="443"/>
      <c r="V24" s="443"/>
    </row>
    <row r="25" spans="1:22" ht="13.5" customHeight="1">
      <c r="B25" s="540"/>
      <c r="C25" s="541" t="s">
        <v>276</v>
      </c>
      <c r="D25" s="1295" t="s">
        <v>1117</v>
      </c>
      <c r="E25" s="1295"/>
      <c r="F25" s="1295"/>
      <c r="G25" s="1295"/>
      <c r="H25" s="1295"/>
      <c r="J25" s="1305" t="s">
        <v>273</v>
      </c>
      <c r="K25" s="23"/>
      <c r="L25" s="1706"/>
      <c r="M25" s="1706"/>
      <c r="N25" s="1706"/>
      <c r="O25" s="1706"/>
      <c r="P25" s="1706"/>
      <c r="Q25" s="443"/>
      <c r="R25" s="443"/>
      <c r="S25" s="443"/>
      <c r="T25" s="443"/>
      <c r="U25" s="443"/>
      <c r="V25" s="443"/>
    </row>
    <row r="26" spans="1:22" ht="13.5" customHeight="1">
      <c r="B26" s="540"/>
      <c r="C26" s="542" t="s">
        <v>277</v>
      </c>
      <c r="D26" s="1295" t="s">
        <v>297</v>
      </c>
      <c r="E26" s="1701"/>
      <c r="F26" s="1701"/>
      <c r="G26" s="1701"/>
      <c r="H26" s="1295"/>
      <c r="J26" s="1305" t="s">
        <v>273</v>
      </c>
      <c r="K26" s="48"/>
      <c r="L26" s="1706"/>
      <c r="M26" s="1706"/>
      <c r="N26" s="1706"/>
      <c r="O26" s="1706"/>
      <c r="P26" s="1706"/>
      <c r="Q26" s="443"/>
      <c r="R26" s="443"/>
      <c r="S26" s="443"/>
      <c r="T26" s="443"/>
      <c r="U26" s="443"/>
      <c r="V26" s="443"/>
    </row>
    <row r="27" spans="1:22" ht="3.75" customHeight="1">
      <c r="B27" s="543"/>
      <c r="C27" s="543"/>
      <c r="D27" s="528"/>
      <c r="J27" s="1305"/>
      <c r="K27" s="544"/>
      <c r="N27" s="1298"/>
      <c r="O27" s="1299"/>
      <c r="P27" s="1299"/>
      <c r="Q27" s="1299"/>
      <c r="R27" s="1299"/>
      <c r="S27" s="1299"/>
      <c r="T27" s="1299"/>
      <c r="U27" s="1299"/>
      <c r="V27" s="1299"/>
    </row>
    <row r="28" spans="1:22" ht="13.5" customHeight="1">
      <c r="A28" s="545"/>
      <c r="B28" s="546" t="s">
        <v>105</v>
      </c>
      <c r="C28" s="1177" t="s">
        <v>1204</v>
      </c>
      <c r="D28" s="528"/>
      <c r="E28" s="138"/>
      <c r="F28" s="138"/>
      <c r="G28" s="138"/>
      <c r="H28" s="138"/>
      <c r="I28" s="138"/>
      <c r="J28" s="1305" t="s">
        <v>273</v>
      </c>
      <c r="K28" s="532">
        <f>TotAmtCapExped</f>
        <v>76482</v>
      </c>
      <c r="N28" s="1299"/>
      <c r="O28" s="1299"/>
      <c r="P28" s="1299"/>
      <c r="Q28" s="1299"/>
      <c r="R28" s="1299"/>
      <c r="S28" s="1299"/>
      <c r="T28" s="1299"/>
      <c r="U28" s="1299"/>
      <c r="V28" s="1299"/>
    </row>
    <row r="29" spans="1:22" ht="6" customHeight="1">
      <c r="A29" s="545"/>
      <c r="B29" s="543"/>
      <c r="C29" s="543"/>
      <c r="D29" s="528"/>
      <c r="E29" s="138"/>
      <c r="F29" s="138"/>
      <c r="G29" s="138"/>
      <c r="H29" s="138"/>
      <c r="I29" s="138"/>
      <c r="J29" s="1305"/>
      <c r="K29" s="531"/>
      <c r="N29" s="1299"/>
      <c r="O29" s="1299"/>
      <c r="P29" s="1299"/>
      <c r="Q29" s="1299"/>
      <c r="R29" s="1299"/>
      <c r="S29" s="1299"/>
      <c r="T29" s="1299"/>
      <c r="U29" s="1299"/>
      <c r="V29" s="1299"/>
    </row>
    <row r="30" spans="1:22" ht="13.5" customHeight="1" thickBot="1">
      <c r="A30" s="1305"/>
      <c r="B30" s="546" t="s">
        <v>106</v>
      </c>
      <c r="C30" s="1178" t="s">
        <v>1352</v>
      </c>
      <c r="D30" s="528"/>
      <c r="E30" s="539"/>
      <c r="F30" s="539"/>
      <c r="G30" s="1179"/>
      <c r="H30" s="539"/>
      <c r="J30" s="1305" t="s">
        <v>273</v>
      </c>
      <c r="K30" s="547">
        <f>SUM(K18:K28)</f>
        <v>215348</v>
      </c>
      <c r="L30" s="1499"/>
      <c r="N30" s="120"/>
      <c r="O30" s="96"/>
      <c r="P30" s="96"/>
      <c r="Q30" s="96"/>
      <c r="R30" s="96"/>
      <c r="S30" s="96"/>
      <c r="T30" s="96"/>
      <c r="U30" s="96"/>
      <c r="V30" s="295"/>
    </row>
    <row r="31" spans="1:22" ht="8.25" customHeight="1" thickTop="1">
      <c r="A31" s="1305"/>
      <c r="D31" s="528"/>
      <c r="J31" s="1305"/>
      <c r="K31" s="544"/>
      <c r="N31" s="96"/>
      <c r="O31" s="96"/>
      <c r="P31" s="96"/>
      <c r="Q31" s="96"/>
      <c r="R31" s="96"/>
      <c r="S31" s="96"/>
      <c r="T31" s="1617"/>
      <c r="U31" s="1561"/>
      <c r="V31" s="295"/>
    </row>
    <row r="32" spans="1:22" ht="3" customHeight="1">
      <c r="A32" s="1305"/>
      <c r="B32" s="543"/>
      <c r="C32" s="543"/>
      <c r="D32" s="528"/>
      <c r="E32" s="536"/>
      <c r="F32" s="536"/>
      <c r="G32" s="536"/>
      <c r="H32" s="536"/>
      <c r="J32" s="1305"/>
      <c r="K32" s="544"/>
      <c r="N32" s="96"/>
      <c r="O32" s="96"/>
      <c r="P32" s="96"/>
      <c r="Q32" s="96"/>
      <c r="R32" s="96"/>
      <c r="S32" s="96"/>
      <c r="T32" s="1617"/>
      <c r="U32" s="1561"/>
      <c r="V32" s="295"/>
    </row>
    <row r="33" spans="1:22" ht="15" customHeight="1">
      <c r="A33" s="548" t="s">
        <v>261</v>
      </c>
      <c r="B33" s="549" t="s">
        <v>962</v>
      </c>
      <c r="C33" s="550"/>
      <c r="D33" s="528"/>
      <c r="E33" s="536"/>
      <c r="F33" s="536"/>
      <c r="G33" s="536"/>
      <c r="H33" s="536"/>
      <c r="I33" s="138"/>
      <c r="J33" s="1305"/>
      <c r="K33" s="544"/>
      <c r="N33" s="96"/>
      <c r="O33" s="96"/>
      <c r="P33" s="96"/>
      <c r="Q33" s="96"/>
      <c r="R33" s="96"/>
      <c r="S33" s="96"/>
      <c r="T33" s="1617"/>
      <c r="U33" s="1561"/>
      <c r="V33" s="295"/>
    </row>
    <row r="34" spans="1:22" ht="16.5" customHeight="1">
      <c r="A34" s="551"/>
      <c r="B34" s="552"/>
      <c r="C34" s="550"/>
      <c r="D34" s="528"/>
      <c r="E34" s="536"/>
      <c r="F34" s="536"/>
      <c r="G34" s="536"/>
      <c r="H34" s="536"/>
      <c r="I34" s="138"/>
      <c r="J34" s="1305"/>
      <c r="N34" s="96"/>
      <c r="O34" s="96"/>
      <c r="P34" s="96"/>
      <c r="Q34" s="96"/>
      <c r="R34" s="96"/>
      <c r="S34" s="96"/>
      <c r="T34" s="1617"/>
      <c r="U34" s="1561"/>
      <c r="V34" s="295"/>
    </row>
    <row r="36" spans="1:22">
      <c r="A36" s="138"/>
      <c r="B36" s="138"/>
      <c r="C36" s="138"/>
    </row>
    <row r="37" spans="1:22" ht="15">
      <c r="A37" s="553"/>
      <c r="B37" s="1704"/>
      <c r="C37" s="1704"/>
      <c r="D37" s="1703"/>
      <c r="E37" s="1703"/>
    </row>
    <row r="38" spans="1:22" ht="15">
      <c r="A38" s="554"/>
      <c r="B38" s="1702"/>
      <c r="C38" s="1702"/>
      <c r="D38" s="1703"/>
      <c r="E38" s="1703"/>
    </row>
    <row r="39" spans="1:22" ht="15">
      <c r="A39" s="554"/>
      <c r="B39" s="1702"/>
      <c r="C39" s="1702"/>
      <c r="D39" s="1703"/>
      <c r="E39" s="1703"/>
    </row>
    <row r="40" spans="1:22" ht="15">
      <c r="A40" s="554"/>
      <c r="B40" s="555"/>
      <c r="C40" s="555"/>
      <c r="D40" s="556"/>
      <c r="E40" s="556"/>
    </row>
    <row r="41" spans="1:22" ht="15">
      <c r="A41" s="554"/>
      <c r="B41" s="1704"/>
      <c r="C41" s="1704"/>
      <c r="D41" s="1703"/>
      <c r="E41" s="1703"/>
    </row>
    <row r="42" spans="1:22" ht="15">
      <c r="A42" s="554"/>
      <c r="B42" s="1704"/>
      <c r="C42" s="1704"/>
      <c r="D42" s="1703"/>
      <c r="E42" s="1703"/>
    </row>
    <row r="43" spans="1:22" ht="12.75" customHeight="1">
      <c r="A43" s="553"/>
    </row>
    <row r="44" spans="1:22" ht="15">
      <c r="A44" s="554"/>
      <c r="B44" s="1704"/>
      <c r="C44" s="1704"/>
      <c r="D44" s="1703"/>
      <c r="E44" s="1703"/>
    </row>
    <row r="45" spans="1:22" ht="15">
      <c r="A45" s="554"/>
      <c r="E45" s="1296"/>
      <c r="F45" s="1294"/>
      <c r="G45" s="1294"/>
      <c r="H45" s="1294"/>
      <c r="I45"/>
      <c r="J45" s="1294"/>
      <c r="K45" s="538"/>
      <c r="L45" s="1294"/>
    </row>
    <row r="46" spans="1:22" ht="15">
      <c r="A46" s="554"/>
      <c r="B46" s="1704"/>
      <c r="C46" s="1704"/>
      <c r="D46" s="1705"/>
      <c r="E46" s="1705"/>
      <c r="F46" s="1705"/>
      <c r="G46" s="1705"/>
      <c r="H46" s="1705"/>
      <c r="I46" s="1705"/>
      <c r="J46" s="1705"/>
      <c r="K46" s="1705"/>
      <c r="L46" s="1705"/>
    </row>
    <row r="47" spans="1:22" ht="13.8">
      <c r="A47" s="557"/>
      <c r="B47" s="138"/>
      <c r="C47" s="138"/>
    </row>
    <row r="108" spans="1:12">
      <c r="A108" s="1301"/>
      <c r="L108" s="1301"/>
    </row>
  </sheetData>
  <sheetProtection sheet="1" formatCells="0" formatColumns="0" formatRows="0"/>
  <mergeCells count="25">
    <mergeCell ref="U31:U34"/>
    <mergeCell ref="T31:T34"/>
    <mergeCell ref="B38:E38"/>
    <mergeCell ref="B37:E37"/>
    <mergeCell ref="B2:D2"/>
    <mergeCell ref="A3:K4"/>
    <mergeCell ref="C10:H10"/>
    <mergeCell ref="C11:H11"/>
    <mergeCell ref="D24:G24"/>
    <mergeCell ref="C14:H14"/>
    <mergeCell ref="C15:H15"/>
    <mergeCell ref="C16:H16"/>
    <mergeCell ref="K22:K23"/>
    <mergeCell ref="C8:H8"/>
    <mergeCell ref="C17:H17"/>
    <mergeCell ref="C22:H22"/>
    <mergeCell ref="C12:H12"/>
    <mergeCell ref="C13:H13"/>
    <mergeCell ref="E26:G26"/>
    <mergeCell ref="B39:E39"/>
    <mergeCell ref="B46:L46"/>
    <mergeCell ref="B42:E42"/>
    <mergeCell ref="B44:E44"/>
    <mergeCell ref="B41:E41"/>
    <mergeCell ref="L24:P26"/>
  </mergeCells>
  <conditionalFormatting sqref="D24:G24">
    <cfRule type="expression" dxfId="22" priority="6">
      <formula>AND($K$24&lt;&gt;0,ISNUMBER(K24),D24="")</formula>
    </cfRule>
  </conditionalFormatting>
  <conditionalFormatting sqref="E26:G26">
    <cfRule type="expression" dxfId="21" priority="5">
      <formula>AND(ISNUMBER($K$26),$K$26&lt;&gt;0,$E$26="")</formula>
    </cfRule>
  </conditionalFormatting>
  <conditionalFormatting sqref="K24">
    <cfRule type="expression" dxfId="20" priority="2">
      <formula>AND($G$18&lt;&gt;"",$K$24="")</formula>
    </cfRule>
  </conditionalFormatting>
  <conditionalFormatting sqref="K25">
    <cfRule type="expression" dxfId="19" priority="3">
      <formula>AND($G$18&lt;&gt;"",$K$25="")</formula>
    </cfRule>
  </conditionalFormatting>
  <conditionalFormatting sqref="K26">
    <cfRule type="expression" dxfId="18" priority="4">
      <formula>AND($G$18&lt;&gt;"",$K$26="")</formula>
    </cfRule>
  </conditionalFormatting>
  <conditionalFormatting sqref="L24:P26">
    <cfRule type="expression" dxfId="17" priority="1">
      <formula>L24&lt;&gt;""</formula>
    </cfRule>
  </conditionalFormatting>
  <dataValidations count="3">
    <dataValidation allowBlank="1" showInputMessage="1" showErrorMessage="1" prompt="Enter negative amount in parentheses." sqref="K25" xr:uid="{00000000-0002-0000-0900-000000000000}"/>
    <dataValidation operator="lessThanOrEqual" allowBlank="1" showInputMessage="1" showErrorMessage="1" prompt="This amount must be negative. Enter amount in parentheses." sqref="K24" xr:uid="{00000000-0002-0000-0900-000001000000}"/>
    <dataValidation allowBlank="1" showInputMessage="1" showErrorMessage="1" promptTitle="Contact ADE prior to completing" prompt="Enter negative amount in parentheses." sqref="K26" xr:uid="{00000000-0002-0000-0900-000002000000}"/>
  </dataValidations>
  <hyperlinks>
    <hyperlink ref="B9" location="Page8lA2" display="2." xr:uid="{00000000-0004-0000-0900-000000000000}"/>
    <hyperlink ref="B20" location="Page8lA9" display="9." xr:uid="{00000000-0004-0000-0900-000001000000}"/>
    <hyperlink ref="B22" location="Page8lA10" display="10." xr:uid="{00000000-0004-0000-0900-000002000000}"/>
    <hyperlink ref="B15" location="Page8lA6" display="6." xr:uid="{00000000-0004-0000-0900-000003000000}"/>
    <hyperlink ref="B19" location="Page8lA8" display="8." xr:uid="{00000000-0004-0000-0900-000004000000}"/>
    <hyperlink ref="B11" location="Page8lA3" display="3." xr:uid="{00000000-0004-0000-0900-000005000000}"/>
    <hyperlink ref="B2" location="Page8lA2" display="Instructions" xr:uid="{00000000-0004-0000-0900-000006000000}"/>
  </hyperlinks>
  <printOptions horizontalCentered="1"/>
  <pageMargins left="0.25" right="0.25" top="0.25" bottom="0.25" header="0" footer="0.15"/>
  <pageSetup paperSize="5" scale="98" orientation="portrait" r:id="rId1"/>
  <headerFooter alignWithMargins="0">
    <oddFooter>&amp;L&amp;"Times New Roman,Bold"&amp;9Rev. 5/26&amp;K000000 Arizona Department of Education and Auditor General&amp;C&amp;"Times New Roman,Regular"&amp;9&amp;D  &amp;T</oddFooter>
  </headerFooter>
  <colBreaks count="1" manualBreakCount="1">
    <brk id="13" max="1048575" man="1"/>
  </colBreaks>
  <ignoredErrors>
    <ignoredError sqref="B22"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40A7E3807644E4DA70E0D6B717B683A" ma:contentTypeVersion="13" ma:contentTypeDescription="Create a new document." ma:contentTypeScope="" ma:versionID="ced91354f4bce877edba07724a796b3e">
  <xsd:schema xmlns:xsd="http://www.w3.org/2001/XMLSchema" xmlns:xs="http://www.w3.org/2001/XMLSchema" xmlns:p="http://schemas.microsoft.com/office/2006/metadata/properties" xmlns:ns2="30e8ffde-18ad-4221-a68d-976eb256fe4f" xmlns:ns3="ffcdc2e4-c8f2-4bf7-ab1d-ea300bde3fd8" targetNamespace="http://schemas.microsoft.com/office/2006/metadata/properties" ma:root="true" ma:fieldsID="ab8e9d1407ed56335ba334a25f01c6f7" ns2:_="" ns3:_="">
    <xsd:import namespace="30e8ffde-18ad-4221-a68d-976eb256fe4f"/>
    <xsd:import namespace="ffcdc2e4-c8f2-4bf7-ab1d-ea300bde3fd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e8ffde-18ad-4221-a68d-976eb256fe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74c78d70-57a5-4cd0-992a-8b96d5ad907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fcdc2e4-c8f2-4bf7-ab1d-ea300bde3fd8"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ed5af9a2-5c05-48d1-8193-28164417b14f}" ma:internalName="TaxCatchAll" ma:showField="CatchAllData" ma:web="ffcdc2e4-c8f2-4bf7-ab1d-ea300bde3fd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lcf76f155ced4ddcb4097134ff3c332f xmlns="30e8ffde-18ad-4221-a68d-976eb256fe4f">
      <Terms xmlns="http://schemas.microsoft.com/office/infopath/2007/PartnerControls"/>
    </lcf76f155ced4ddcb4097134ff3c332f>
    <TaxCatchAll xmlns="ffcdc2e4-c8f2-4bf7-ab1d-ea300bde3fd8" xsi:nil="true"/>
  </documentManagement>
</p:properties>
</file>

<file path=customXml/itemProps1.xml><?xml version="1.0" encoding="utf-8"?>
<ds:datastoreItem xmlns:ds="http://schemas.openxmlformats.org/officeDocument/2006/customXml" ds:itemID="{DB4006C9-8F10-4691-895E-5B98F28588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e8ffde-18ad-4221-a68d-976eb256fe4f"/>
    <ds:schemaRef ds:uri="ffcdc2e4-c8f2-4bf7-ab1d-ea300bde3f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847F8EF-8AAF-48C9-9DFE-A66AC49D528B}">
  <ds:schemaRefs>
    <ds:schemaRef ds:uri="http://schemas.microsoft.com/sharepoint/v3/contenttype/forms"/>
  </ds:schemaRefs>
</ds:datastoreItem>
</file>

<file path=customXml/itemProps3.xml><?xml version="1.0" encoding="utf-8"?>
<ds:datastoreItem xmlns:ds="http://schemas.openxmlformats.org/officeDocument/2006/customXml" ds:itemID="{BBB4F38B-0799-4886-B61C-8DBB46B47F73}">
  <ds:schemaRefs>
    <ds:schemaRef ds:uri="http://schemas.microsoft.com/office/2006/metadata/properties"/>
    <ds:schemaRef ds:uri="http://purl.org/dc/terms/"/>
    <ds:schemaRef ds:uri="ffcdc2e4-c8f2-4bf7-ab1d-ea300bde3fd8"/>
    <ds:schemaRef ds:uri="http://purl.org/dc/elements/1.1/"/>
    <ds:schemaRef ds:uri="http://schemas.microsoft.com/office/2006/documentManagement/types"/>
    <ds:schemaRef ds:uri="http://www.w3.org/XML/1998/namespace"/>
    <ds:schemaRef ds:uri="http://purl.org/dc/dcmitype/"/>
    <ds:schemaRef ds:uri="http://schemas.microsoft.com/office/infopath/2007/PartnerControls"/>
    <ds:schemaRef ds:uri="http://schemas.openxmlformats.org/package/2006/metadata/core-properties"/>
    <ds:schemaRef ds:uri="30e8ffde-18ad-4221-a68d-976eb256fe4f"/>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18</vt:i4>
      </vt:variant>
      <vt:variant>
        <vt:lpstr>Named Ranges</vt:lpstr>
      </vt:variant>
      <vt:variant>
        <vt:i4>1044</vt:i4>
      </vt:variant>
    </vt:vector>
  </HeadingPairs>
  <TitlesOfParts>
    <vt:vector size="1062" baseType="lpstr">
      <vt:lpstr>Cover</vt:lpstr>
      <vt:lpstr>Page 1</vt:lpstr>
      <vt:lpstr>Page 2</vt:lpstr>
      <vt:lpstr>Page 3</vt:lpstr>
      <vt:lpstr>Page 4</vt:lpstr>
      <vt:lpstr>Page 5</vt:lpstr>
      <vt:lpstr>Page 6</vt:lpstr>
      <vt:lpstr>Page 7</vt:lpstr>
      <vt:lpstr>Page 8</vt:lpstr>
      <vt:lpstr>Supplement</vt:lpstr>
      <vt:lpstr>Summary Page 1</vt:lpstr>
      <vt:lpstr>Summary Page 2</vt:lpstr>
      <vt:lpstr>Truth in Tax</vt:lpstr>
      <vt:lpstr>Fund balances</vt:lpstr>
      <vt:lpstr>Data Entry</vt:lpstr>
      <vt:lpstr>Calculations</vt:lpstr>
      <vt:lpstr>BSA55</vt:lpstr>
      <vt:lpstr>Instructions</vt:lpstr>
      <vt:lpstr>_PAV2</vt:lpstr>
      <vt:lpstr>_QL912</vt:lpstr>
      <vt:lpstr>AccommRCL05</vt:lpstr>
      <vt:lpstr>AccommRCL10</vt:lpstr>
      <vt:lpstr>AccommTransCheck</vt:lpstr>
      <vt:lpstr>ActAuditExpend</vt:lpstr>
      <vt:lpstr>ActDisabilityRM</vt:lpstr>
      <vt:lpstr>ActivTripLvlFactor</vt:lpstr>
      <vt:lpstr>AdjacentWays</vt:lpstr>
      <vt:lpstr>AdjBaseSuppLvl</vt:lpstr>
      <vt:lpstr>AdjFYTRCL</vt:lpstr>
      <vt:lpstr>AdjTNTBaseLimit</vt:lpstr>
      <vt:lpstr>AdjWaysLevy</vt:lpstr>
      <vt:lpstr>AllFundAuditBudg6330</vt:lpstr>
      <vt:lpstr>AmtOUBudgSSA</vt:lpstr>
      <vt:lpstr>AnnualExpforBusPass</vt:lpstr>
      <vt:lpstr>AnnualExpforBusToken</vt:lpstr>
      <vt:lpstr>AOIFTFundFactor</vt:lpstr>
      <vt:lpstr>AOIFTGrBAddOnWgtdADM</vt:lpstr>
      <vt:lpstr>AOIFTRegEdWgtdADM</vt:lpstr>
      <vt:lpstr>AOIFTStudCnt912CY</vt:lpstr>
      <vt:lpstr>AOIFTStudCntDD.ED.MIID.SLD.SLI.OHI</vt:lpstr>
      <vt:lpstr>AOIFTStudCntEDP</vt:lpstr>
      <vt:lpstr>AOIFTStudCntELL</vt:lpstr>
      <vt:lpstr>AOIFTStudCntFRPL</vt:lpstr>
      <vt:lpstr>AOIFTStudCntG</vt:lpstr>
      <vt:lpstr>AOIFTStudCntHI</vt:lpstr>
      <vt:lpstr>AOIFTStudCntK3</vt:lpstr>
      <vt:lpstr>AOIFTStudCntK3R</vt:lpstr>
      <vt:lpstr>AOIFTStudCntK8CY</vt:lpstr>
      <vt:lpstr>AOIFTStudCntMDR.AR.SIDR</vt:lpstr>
      <vt:lpstr>AOIFTStudCntMDSC.ASC.SIDSC</vt:lpstr>
      <vt:lpstr>AOIFTStudCntMDSSI</vt:lpstr>
      <vt:lpstr>AOIFTStudCntMOID</vt:lpstr>
      <vt:lpstr>AOIFTStudCntOIR</vt:lpstr>
      <vt:lpstr>AOIFTStudCntOISC</vt:lpstr>
      <vt:lpstr>AOIFTStudCntP.SD</vt:lpstr>
      <vt:lpstr>AOIFTStudCntPSDCY</vt:lpstr>
      <vt:lpstr>AOIFTStudCntVI</vt:lpstr>
      <vt:lpstr>AOIPTFundFactor</vt:lpstr>
      <vt:lpstr>AOIPTGrBAddOnWgtdADM</vt:lpstr>
      <vt:lpstr>AOIPTRegEdWgtdADM</vt:lpstr>
      <vt:lpstr>AOIPTStudCnt912CY</vt:lpstr>
      <vt:lpstr>AOIPTStudCntDD.ED.MIID.SLD.SLI.OHI</vt:lpstr>
      <vt:lpstr>AOIPTStudCntEDP</vt:lpstr>
      <vt:lpstr>AOIPTStudCntELL</vt:lpstr>
      <vt:lpstr>AOIPTStudCntFRPL</vt:lpstr>
      <vt:lpstr>AOIPTStudCntG</vt:lpstr>
      <vt:lpstr>AOIPTStudCntHI</vt:lpstr>
      <vt:lpstr>AOIPTStudCntK3</vt:lpstr>
      <vt:lpstr>AOIPTStudCntK3R</vt:lpstr>
      <vt:lpstr>AOIPTStudCntK8CY</vt:lpstr>
      <vt:lpstr>AOIPTStudCntMDR.AR.SIDR</vt:lpstr>
      <vt:lpstr>AOIPTStudCntMDSC.ASC.SIDSC</vt:lpstr>
      <vt:lpstr>AOIPTStudCntMDSSI</vt:lpstr>
      <vt:lpstr>AOIPTStudCntMOID</vt:lpstr>
      <vt:lpstr>AOIPTStudCntOIR</vt:lpstr>
      <vt:lpstr>AOIPTStudCntOISC</vt:lpstr>
      <vt:lpstr>AOIPTStudCntP.SD</vt:lpstr>
      <vt:lpstr>AOIPTStudCntPSDCY</vt:lpstr>
      <vt:lpstr>AOIPTStudCntVI</vt:lpstr>
      <vt:lpstr>ApprDRMiles</vt:lpstr>
      <vt:lpstr>AuditServices</vt:lpstr>
      <vt:lpstr>AvgTeacherSalaries</vt:lpstr>
      <vt:lpstr>BaseLevelAmount</vt:lpstr>
      <vt:lpstr>BSA55BLA</vt:lpstr>
      <vt:lpstr>BSA55General</vt:lpstr>
      <vt:lpstr>BSA55P4ActivityTripFactors</vt:lpstr>
      <vt:lpstr>BSA55P4AuditServiceExpense</vt:lpstr>
      <vt:lpstr>BSA55TEI</vt:lpstr>
      <vt:lpstr>BUDG75Adj</vt:lpstr>
      <vt:lpstr>BudgetYearADM</vt:lpstr>
      <vt:lpstr>BudgetYearSalary</vt:lpstr>
      <vt:lpstr>BudgetYearSalarySumm</vt:lpstr>
      <vt:lpstr>BudgIncrDesegExp</vt:lpstr>
      <vt:lpstr>BudgIncrDropPrevProg</vt:lpstr>
      <vt:lpstr>BudgIncrJCTEVEC</vt:lpstr>
      <vt:lpstr>BusTokens</vt:lpstr>
      <vt:lpstr>CalcGeneral</vt:lpstr>
      <vt:lpstr>CapTransportAdj912</vt:lpstr>
      <vt:lpstr>CapTransportAdjK8</vt:lpstr>
      <vt:lpstr>CapTransportAdjPSD</vt:lpstr>
      <vt:lpstr>Checkbox200Days</vt:lpstr>
      <vt:lpstr>ConsolUnifTransCosts</vt:lpstr>
      <vt:lpstr>ContractFTEAdmin</vt:lpstr>
      <vt:lpstr>ContractFTECertOther</vt:lpstr>
      <vt:lpstr>ContractFTECertSubtotal</vt:lpstr>
      <vt:lpstr>ContractFTEClassOther</vt:lpstr>
      <vt:lpstr>ContractFTEClassSubtotal</vt:lpstr>
      <vt:lpstr>ContractFTEManagers</vt:lpstr>
      <vt:lpstr>ContractFTESpecEdStaff</vt:lpstr>
      <vt:lpstr>ContractFTESpecEdTeacher</vt:lpstr>
      <vt:lpstr>ContractFTETeachers</vt:lpstr>
      <vt:lpstr>ContractFTETeachersAids</vt:lpstr>
      <vt:lpstr>ContractFTETotal</vt:lpstr>
      <vt:lpstr>Cover!cover</vt:lpstr>
      <vt:lpstr>CoverGen</vt:lpstr>
      <vt:lpstr>'Page 3'!CSFActualCurrFY</vt:lpstr>
      <vt:lpstr>CSFAdjustment</vt:lpstr>
      <vt:lpstr>CSFAllocation</vt:lpstr>
      <vt:lpstr>'Page 3'!CSFAllocBudgFY</vt:lpstr>
      <vt:lpstr>'Page 3'!CSFBLBudgFY</vt:lpstr>
      <vt:lpstr>CSFBLBudgFYSumm</vt:lpstr>
      <vt:lpstr>'Page 3'!CSFBLCurrFY</vt:lpstr>
      <vt:lpstr>CSFExpBudgFYSumm</vt:lpstr>
      <vt:lpstr>CSFPYInterestEarned</vt:lpstr>
      <vt:lpstr>CSFUnexpendBudgBal</vt:lpstr>
      <vt:lpstr>CTD</vt:lpstr>
      <vt:lpstr>CYIAMOTax</vt:lpstr>
      <vt:lpstr>CYIAMOTRCL</vt:lpstr>
      <vt:lpstr>CYIARev</vt:lpstr>
      <vt:lpstr>CYIARevBondDS</vt:lpstr>
      <vt:lpstr>CYTRCL</vt:lpstr>
      <vt:lpstr>DailyRteMilesPerElgStud</vt:lpstr>
      <vt:lpstr>DataEntryGeneral</vt:lpstr>
      <vt:lpstr>DataEntryOtherBSLBRCLAdjl1</vt:lpstr>
      <vt:lpstr>DataEntryOtherBSLBRCLAdjl3</vt:lpstr>
      <vt:lpstr>DataEntryOtherBSLBRCLAdjl4</vt:lpstr>
      <vt:lpstr>DataEntryOtherBSLBRCLAdjl5</vt:lpstr>
      <vt:lpstr>DataEntryOtherBSLBRCLAdjl6</vt:lpstr>
      <vt:lpstr>DataEntryOtherBSLBRCLAdjl7</vt:lpstr>
      <vt:lpstr>DataEntryOtherInfol1</vt:lpstr>
      <vt:lpstr>DataEntryOtherInfol12</vt:lpstr>
      <vt:lpstr>DataEntryOtherInfol13</vt:lpstr>
      <vt:lpstr>DataEntryOtherInfol14e</vt:lpstr>
      <vt:lpstr>DataEntryOtherInfol16</vt:lpstr>
      <vt:lpstr>DataEntryOtherInfol18</vt:lpstr>
      <vt:lpstr>DataEntryOtherInfol19</vt:lpstr>
      <vt:lpstr>DataEntryOtherInfol1Continued</vt:lpstr>
      <vt:lpstr>DataEntryOtherInfol2</vt:lpstr>
      <vt:lpstr>DataEntryOtherInfol21</vt:lpstr>
      <vt:lpstr>DataEntryOtherInfol22</vt:lpstr>
      <vt:lpstr>DataEntryOtherInfol3</vt:lpstr>
      <vt:lpstr>DataEntryOtherInfol4</vt:lpstr>
      <vt:lpstr>DataEntryOtherInfol5</vt:lpstr>
      <vt:lpstr>DataEntryOtherInfol6</vt:lpstr>
      <vt:lpstr>DataEntryOtherInfol7</vt:lpstr>
      <vt:lpstr>DataEntryOtherInfol9</vt:lpstr>
      <vt:lpstr>DataEntryTransl1</vt:lpstr>
      <vt:lpstr>DataEntryTransl3</vt:lpstr>
      <vt:lpstr>DataEntryTransl5</vt:lpstr>
      <vt:lpstr>DataEntryType01Infol1</vt:lpstr>
      <vt:lpstr>DataEntryType01Infol2</vt:lpstr>
      <vt:lpstr>DataEntryUSCl1</vt:lpstr>
      <vt:lpstr>DataEntryUSCl2</vt:lpstr>
      <vt:lpstr>DataEntryUSCl345</vt:lpstr>
      <vt:lpstr>DataEntryUSCSCAl10</vt:lpstr>
      <vt:lpstr>DataEntryUSCSCAl11</vt:lpstr>
      <vt:lpstr>DataEntryUSCSCAl12</vt:lpstr>
      <vt:lpstr>DataEntryUSCSCAl13</vt:lpstr>
      <vt:lpstr>DataEntryUSCSCAl14</vt:lpstr>
      <vt:lpstr>DataEntryUSCSCAl15</vt:lpstr>
      <vt:lpstr>DataEntryUSCSCAl16</vt:lpstr>
      <vt:lpstr>DataEntryUSCSCAl17</vt:lpstr>
      <vt:lpstr>DataEntryUSCSCAl18</vt:lpstr>
      <vt:lpstr>DataEntryUSCSCAl19</vt:lpstr>
      <vt:lpstr>DataEntryUSCSCAl20</vt:lpstr>
      <vt:lpstr>DataEntryUSCSCAl21</vt:lpstr>
      <vt:lpstr>DataEntryUSCSCAl23</vt:lpstr>
      <vt:lpstr>DataEntryUSCSCAl7</vt:lpstr>
      <vt:lpstr>DataEntryUSCSCAl720</vt:lpstr>
      <vt:lpstr>DataEntryUSCSCAl9</vt:lpstr>
      <vt:lpstr>DDPJCTEOriginalBudget</vt:lpstr>
      <vt:lpstr>DecrTransMOtoEWS</vt:lpstr>
      <vt:lpstr>DistrictName</vt:lpstr>
      <vt:lpstr>DistrictSystems</vt:lpstr>
      <vt:lpstr>DSL</vt:lpstr>
      <vt:lpstr>DSLRCL912</vt:lpstr>
      <vt:lpstr>DSLRCLPSD8</vt:lpstr>
      <vt:lpstr>DSLRCLTotal</vt:lpstr>
      <vt:lpstr>EligibleStudTrans</vt:lpstr>
      <vt:lpstr>EmployeeFTEAdmin</vt:lpstr>
      <vt:lpstr>EmployeeFTECertOther</vt:lpstr>
      <vt:lpstr>EmployeeFTECertSubtotal</vt:lpstr>
      <vt:lpstr>EmployeeFTEClassOther</vt:lpstr>
      <vt:lpstr>EmployeeFTEClassSubtotal</vt:lpstr>
      <vt:lpstr>EmployeeFTEManagers</vt:lpstr>
      <vt:lpstr>EmployeeFTESpecEdStaff</vt:lpstr>
      <vt:lpstr>EmployeeFTESpecEdTeacher</vt:lpstr>
      <vt:lpstr>EmployeeFTETeachers</vt:lpstr>
      <vt:lpstr>EmployeeFTETeachersAides</vt:lpstr>
      <vt:lpstr>EmployeeFTETotal</vt:lpstr>
      <vt:lpstr>EqualAssist912</vt:lpstr>
      <vt:lpstr>EqualAssistPSD8</vt:lpstr>
      <vt:lpstr>EqualBase912</vt:lpstr>
      <vt:lpstr>EqualBasePSD8</vt:lpstr>
      <vt:lpstr>EstDisabilityRM</vt:lpstr>
      <vt:lpstr>EstTaxRateBudgFY</vt:lpstr>
      <vt:lpstr>EstTaxRateBudgFYSumm</vt:lpstr>
      <vt:lpstr>ExcessTNTLimit</vt:lpstr>
      <vt:lpstr>ExpOUOrigBudg</vt:lpstr>
      <vt:lpstr>F001AuditBudg6350</vt:lpstr>
      <vt:lpstr>F001Carryforward</vt:lpstr>
      <vt:lpstr>F001P100F1000</vt:lpstr>
      <vt:lpstr>F001P100F1000O6100</vt:lpstr>
      <vt:lpstr>F001P100F1000O6200</vt:lpstr>
      <vt:lpstr>F001P100F1000O630064006500</vt:lpstr>
      <vt:lpstr>F001P100F1000O6600</vt:lpstr>
      <vt:lpstr>F001P100F1000O6800</vt:lpstr>
      <vt:lpstr>F001P100F1000OthBudgFY</vt:lpstr>
      <vt:lpstr>F001P100F1000Personnel</vt:lpstr>
      <vt:lpstr>F001P100F1000SBBudgFY</vt:lpstr>
      <vt:lpstr>F001P100F1000TotBudgFY</vt:lpstr>
      <vt:lpstr>F001P100F2100</vt:lpstr>
      <vt:lpstr>F001P100F2100O6100</vt:lpstr>
      <vt:lpstr>F001P100F2100O6200</vt:lpstr>
      <vt:lpstr>F001P100F2100O630064006500</vt:lpstr>
      <vt:lpstr>F001P100F2100O6600</vt:lpstr>
      <vt:lpstr>F001P100F2100O6800</vt:lpstr>
      <vt:lpstr>F001P100F2100OthBudgFY</vt:lpstr>
      <vt:lpstr>F001P100F2100Personnel</vt:lpstr>
      <vt:lpstr>F001P100F2100SBBudgFY</vt:lpstr>
      <vt:lpstr>F001P100F2100TotBudgFY</vt:lpstr>
      <vt:lpstr>F001P100F2200</vt:lpstr>
      <vt:lpstr>F001P100F2200O6100</vt:lpstr>
      <vt:lpstr>F001P100F2200O6200</vt:lpstr>
      <vt:lpstr>F001P100F2200O630064006500</vt:lpstr>
      <vt:lpstr>F001P100F2200O6600</vt:lpstr>
      <vt:lpstr>F001P100F2200O6800</vt:lpstr>
      <vt:lpstr>F001P100F2200OthBudgFY</vt:lpstr>
      <vt:lpstr>F001P100F2200Personnel</vt:lpstr>
      <vt:lpstr>F001P100F2200SBBudgFY</vt:lpstr>
      <vt:lpstr>F001P100F2200TotBudgFY</vt:lpstr>
      <vt:lpstr>F001P100F2300</vt:lpstr>
      <vt:lpstr>F001P100F230024002500OthBudgFY</vt:lpstr>
      <vt:lpstr>F001P100F230024002500SBBudgFY</vt:lpstr>
      <vt:lpstr>F001P100F230024002500TotBudgFY</vt:lpstr>
      <vt:lpstr>F001P100F2300O6100</vt:lpstr>
      <vt:lpstr>F001P100F2300O6200</vt:lpstr>
      <vt:lpstr>F001P100F2300O630064006500</vt:lpstr>
      <vt:lpstr>F001P100F2300O6600</vt:lpstr>
      <vt:lpstr>F001P100F2300O6800</vt:lpstr>
      <vt:lpstr>F001P100F2300Personnel</vt:lpstr>
      <vt:lpstr>F001P100F2400</vt:lpstr>
      <vt:lpstr>F001P100F2400O6100</vt:lpstr>
      <vt:lpstr>F001P100F2400O6200</vt:lpstr>
      <vt:lpstr>F001P100F2400O630064006500</vt:lpstr>
      <vt:lpstr>F001P100F2400O6600</vt:lpstr>
      <vt:lpstr>F001P100F2400O6800</vt:lpstr>
      <vt:lpstr>F001P100F2400Personnel</vt:lpstr>
      <vt:lpstr>F001P100F2500</vt:lpstr>
      <vt:lpstr>F001P100F2500O6100</vt:lpstr>
      <vt:lpstr>F001P100F2500O6200</vt:lpstr>
      <vt:lpstr>F001P100F2500O630064006500</vt:lpstr>
      <vt:lpstr>F001P100F2500O6600</vt:lpstr>
      <vt:lpstr>F001P100F2500O6800</vt:lpstr>
      <vt:lpstr>F001P100F2500Personnel</vt:lpstr>
      <vt:lpstr>F001P100F2600</vt:lpstr>
      <vt:lpstr>F001P100F2600O6100</vt:lpstr>
      <vt:lpstr>F001P100F2600O6200</vt:lpstr>
      <vt:lpstr>F001P100F2600O630064006500</vt:lpstr>
      <vt:lpstr>F001P100F2600O6600</vt:lpstr>
      <vt:lpstr>F001P100F2600O6800</vt:lpstr>
      <vt:lpstr>F001P100F2600OthBudgFY</vt:lpstr>
      <vt:lpstr>F001P100F2600Personnel</vt:lpstr>
      <vt:lpstr>F001P100F2600SBBudgFY</vt:lpstr>
      <vt:lpstr>F001P100F2600TotBudgFY</vt:lpstr>
      <vt:lpstr>F001P100F2900</vt:lpstr>
      <vt:lpstr>F001P100F2900O6100</vt:lpstr>
      <vt:lpstr>F001P100F2900O6200</vt:lpstr>
      <vt:lpstr>F001P100F2900O630064006500</vt:lpstr>
      <vt:lpstr>F001P100F2900O6600</vt:lpstr>
      <vt:lpstr>F001P100F2900O6800</vt:lpstr>
      <vt:lpstr>F001P100F2900OthBudgFY</vt:lpstr>
      <vt:lpstr>F001P100F2900Personnel</vt:lpstr>
      <vt:lpstr>F001P100F2900SBBudgFY</vt:lpstr>
      <vt:lpstr>F001P100F2900TotBudgFY</vt:lpstr>
      <vt:lpstr>F001P100F3000</vt:lpstr>
      <vt:lpstr>F001P100F3000O6100</vt:lpstr>
      <vt:lpstr>F001P100F3000O6200</vt:lpstr>
      <vt:lpstr>F001P100F3000O630064006500</vt:lpstr>
      <vt:lpstr>F001P100F3000O6600</vt:lpstr>
      <vt:lpstr>F001P100F3000O6800</vt:lpstr>
      <vt:lpstr>F001P100F3000OthBudgFY</vt:lpstr>
      <vt:lpstr>F001P100F3000Personnel</vt:lpstr>
      <vt:lpstr>F001P100F3000SBBudgFY</vt:lpstr>
      <vt:lpstr>F001P100F3000TotBudgFY</vt:lpstr>
      <vt:lpstr>F001P200F1000</vt:lpstr>
      <vt:lpstr>F001P200F1000O6100</vt:lpstr>
      <vt:lpstr>F001P200F1000O6200</vt:lpstr>
      <vt:lpstr>F001P200F1000O630064006500</vt:lpstr>
      <vt:lpstr>F001P200F1000O6600</vt:lpstr>
      <vt:lpstr>F001P200F1000O6800</vt:lpstr>
      <vt:lpstr>F001P200F1000OthBudgFY</vt:lpstr>
      <vt:lpstr>F001P200F1000Personnel</vt:lpstr>
      <vt:lpstr>F001P200F1000SBBudgFY</vt:lpstr>
      <vt:lpstr>F001P200F1000TotBudgFY</vt:lpstr>
      <vt:lpstr>F001P200F2100</vt:lpstr>
      <vt:lpstr>F001P200F2100O6100</vt:lpstr>
      <vt:lpstr>F001P200F2100O6200</vt:lpstr>
      <vt:lpstr>F001P200F2100O630064006500</vt:lpstr>
      <vt:lpstr>F001P200F2100O6600</vt:lpstr>
      <vt:lpstr>F001P200F2100O6800</vt:lpstr>
      <vt:lpstr>F001P200F2100OthBudgFY</vt:lpstr>
      <vt:lpstr>F001P200F2100Personnel</vt:lpstr>
      <vt:lpstr>F001P200F2100SBBudgFY</vt:lpstr>
      <vt:lpstr>F001P200F2200</vt:lpstr>
      <vt:lpstr>F001P200F2200O6100</vt:lpstr>
      <vt:lpstr>F001P200F2200O6200</vt:lpstr>
      <vt:lpstr>F001P200F2200O630064006500</vt:lpstr>
      <vt:lpstr>F001P200F2200O6600</vt:lpstr>
      <vt:lpstr>F001P200F2200O6800</vt:lpstr>
      <vt:lpstr>F001P200F2200OthBudgFY</vt:lpstr>
      <vt:lpstr>F001P200F2200Personnel</vt:lpstr>
      <vt:lpstr>F001P200F2200SBBudgFY</vt:lpstr>
      <vt:lpstr>F001P200F2200TotBudgFy</vt:lpstr>
      <vt:lpstr>F001P200F2300</vt:lpstr>
      <vt:lpstr>F001P200F230024002500OthBudgFY</vt:lpstr>
      <vt:lpstr>F001P200F230024002500SBBudgFY</vt:lpstr>
      <vt:lpstr>F001P200F230024002500TotBudgFY</vt:lpstr>
      <vt:lpstr>F001P200F2300O6100</vt:lpstr>
      <vt:lpstr>F001P200F2300O6200</vt:lpstr>
      <vt:lpstr>F001P200F2300O630064006500</vt:lpstr>
      <vt:lpstr>F001P200F2300O6600</vt:lpstr>
      <vt:lpstr>F001P200F2300O6800</vt:lpstr>
      <vt:lpstr>F001P200F2300Personnel</vt:lpstr>
      <vt:lpstr>F001P200F2400</vt:lpstr>
      <vt:lpstr>F001P200F2400O6100</vt:lpstr>
      <vt:lpstr>F001P200F2400O6200</vt:lpstr>
      <vt:lpstr>F001P200F2400O630064006500</vt:lpstr>
      <vt:lpstr>F001P200F2400O6600</vt:lpstr>
      <vt:lpstr>F001P200F2400O6800</vt:lpstr>
      <vt:lpstr>F001P200F2400Personnel</vt:lpstr>
      <vt:lpstr>F001P200F2500</vt:lpstr>
      <vt:lpstr>F001P200F2500O6100</vt:lpstr>
      <vt:lpstr>F001P200F2500O6200</vt:lpstr>
      <vt:lpstr>F001P200F2500O630064006500</vt:lpstr>
      <vt:lpstr>F001P200F2500O6600</vt:lpstr>
      <vt:lpstr>F001P200F2500O6800</vt:lpstr>
      <vt:lpstr>F001P200F2500Personnel</vt:lpstr>
      <vt:lpstr>F001P200F2600</vt:lpstr>
      <vt:lpstr>F001P200F2600O6100</vt:lpstr>
      <vt:lpstr>F001P200F2600O6200</vt:lpstr>
      <vt:lpstr>F001P200F2600O630064006500</vt:lpstr>
      <vt:lpstr>F001P200F2600O6600</vt:lpstr>
      <vt:lpstr>F001P200F2600O6800</vt:lpstr>
      <vt:lpstr>F001P200F2600OthBudgFY</vt:lpstr>
      <vt:lpstr>F001P200F2600Personnel</vt:lpstr>
      <vt:lpstr>F001P200F2600SBBudgFY</vt:lpstr>
      <vt:lpstr>F001P200F2600TotBudgFY</vt:lpstr>
      <vt:lpstr>F001P200F2900</vt:lpstr>
      <vt:lpstr>F001P200F2900O6100</vt:lpstr>
      <vt:lpstr>F001P200F2900O6200</vt:lpstr>
      <vt:lpstr>F001P200F2900O630064006500</vt:lpstr>
      <vt:lpstr>F001P200F2900O6600</vt:lpstr>
      <vt:lpstr>F001P200F2900O6800</vt:lpstr>
      <vt:lpstr>F001P200F2900OthBudgFY</vt:lpstr>
      <vt:lpstr>F001P200F2900Personnel</vt:lpstr>
      <vt:lpstr>F001P200F2900SBBudgFY</vt:lpstr>
      <vt:lpstr>F001P200F2900TotBudgFY</vt:lpstr>
      <vt:lpstr>F001P200F3000</vt:lpstr>
      <vt:lpstr>F001P200F3000O6100</vt:lpstr>
      <vt:lpstr>F001P200F3000O6200</vt:lpstr>
      <vt:lpstr>F001P200F3000O630064006500</vt:lpstr>
      <vt:lpstr>F001P200F3000O6600</vt:lpstr>
      <vt:lpstr>F001P200F3000O6800</vt:lpstr>
      <vt:lpstr>F001P200F3000OthBudgFY</vt:lpstr>
      <vt:lpstr>F001P200F3000Personnel</vt:lpstr>
      <vt:lpstr>F001P200F3000SBBudgFY</vt:lpstr>
      <vt:lpstr>F001P200F3000TotBudgFY</vt:lpstr>
      <vt:lpstr>F001P200F510TotBudgFY</vt:lpstr>
      <vt:lpstr>F001P200PYDisabilityTot</vt:lpstr>
      <vt:lpstr>F001P200Subtotal</vt:lpstr>
      <vt:lpstr>F001P200TotBudgFY</vt:lpstr>
      <vt:lpstr>F001P400</vt:lpstr>
      <vt:lpstr>F001P400O6100</vt:lpstr>
      <vt:lpstr>F001P400O6200</vt:lpstr>
      <vt:lpstr>F001P400O630064006500</vt:lpstr>
      <vt:lpstr>F001P400O6600</vt:lpstr>
      <vt:lpstr>F001P400O6800</vt:lpstr>
      <vt:lpstr>F001P400OthBudgFy</vt:lpstr>
      <vt:lpstr>F001P400Personnel</vt:lpstr>
      <vt:lpstr>F001P400SBBudgFY</vt:lpstr>
      <vt:lpstr>F001P400TotBudgFY</vt:lpstr>
      <vt:lpstr>F001P510</vt:lpstr>
      <vt:lpstr>F001P510O6100</vt:lpstr>
      <vt:lpstr>F001P510O6200</vt:lpstr>
      <vt:lpstr>F001P510O630064006500</vt:lpstr>
      <vt:lpstr>F001P510O6600</vt:lpstr>
      <vt:lpstr>F001P510O6800</vt:lpstr>
      <vt:lpstr>F001P510OthBudgFY</vt:lpstr>
      <vt:lpstr>F001P510Personnel</vt:lpstr>
      <vt:lpstr>F001P510SBBudgFY</vt:lpstr>
      <vt:lpstr>F001P530</vt:lpstr>
      <vt:lpstr>F001P530O6100</vt:lpstr>
      <vt:lpstr>F001P530O6200</vt:lpstr>
      <vt:lpstr>F001P530O630064006500</vt:lpstr>
      <vt:lpstr>F001P530O6600</vt:lpstr>
      <vt:lpstr>F001P530O6800</vt:lpstr>
      <vt:lpstr>F001P530OthBudgFY</vt:lpstr>
      <vt:lpstr>F001P530Personnel</vt:lpstr>
      <vt:lpstr>F001P530SBBudgFY</vt:lpstr>
      <vt:lpstr>F001P530TotBudgFY</vt:lpstr>
      <vt:lpstr>F001P540</vt:lpstr>
      <vt:lpstr>F001P540O6100</vt:lpstr>
      <vt:lpstr>F001P540O6200</vt:lpstr>
      <vt:lpstr>F001P540O630064006500</vt:lpstr>
      <vt:lpstr>F001P540O6600</vt:lpstr>
      <vt:lpstr>F001P540O6800</vt:lpstr>
      <vt:lpstr>F001P540OthBudgFY</vt:lpstr>
      <vt:lpstr>F001P540Personnel</vt:lpstr>
      <vt:lpstr>F001P540SBBudgFY</vt:lpstr>
      <vt:lpstr>F001P540TotBudgFY</vt:lpstr>
      <vt:lpstr>F001P550</vt:lpstr>
      <vt:lpstr>F001P550O6100</vt:lpstr>
      <vt:lpstr>F001P550O6200</vt:lpstr>
      <vt:lpstr>F001P550O630064006500</vt:lpstr>
      <vt:lpstr>F001P550O6600</vt:lpstr>
      <vt:lpstr>F001P550O6800</vt:lpstr>
      <vt:lpstr>F001P550OthBudgFY</vt:lpstr>
      <vt:lpstr>F001P550Personnel</vt:lpstr>
      <vt:lpstr>F001P550SBBudgFY</vt:lpstr>
      <vt:lpstr>F001P550TotBudgFY</vt:lpstr>
      <vt:lpstr>F001P610</vt:lpstr>
      <vt:lpstr>F001P610O6100</vt:lpstr>
      <vt:lpstr>F001P610O6200</vt:lpstr>
      <vt:lpstr>F001P610O630064006500</vt:lpstr>
      <vt:lpstr>F001P610O6600</vt:lpstr>
      <vt:lpstr>F001P610O6800</vt:lpstr>
      <vt:lpstr>F001P610OthBudgFY</vt:lpstr>
      <vt:lpstr>F001P610Personnel</vt:lpstr>
      <vt:lpstr>F001P610SBBudgFY</vt:lpstr>
      <vt:lpstr>F001P610TotBudgFY</vt:lpstr>
      <vt:lpstr>F001P620</vt:lpstr>
      <vt:lpstr>F001P620O6100</vt:lpstr>
      <vt:lpstr>F001P620O6200</vt:lpstr>
      <vt:lpstr>F001P620O630064006500</vt:lpstr>
      <vt:lpstr>F001P620O6600</vt:lpstr>
      <vt:lpstr>F001P620O6800</vt:lpstr>
      <vt:lpstr>F001P620OthBudgFY</vt:lpstr>
      <vt:lpstr>F001P620Personnel</vt:lpstr>
      <vt:lpstr>F001P620SBBudgFY</vt:lpstr>
      <vt:lpstr>F001P620TotBudgFY</vt:lpstr>
      <vt:lpstr>F001P630</vt:lpstr>
      <vt:lpstr>F001P630700800900OthBudgFY</vt:lpstr>
      <vt:lpstr>F001P630700800900SBBudgFY</vt:lpstr>
      <vt:lpstr>F001P630700800900TotBudgFY</vt:lpstr>
      <vt:lpstr>F001P630O6100</vt:lpstr>
      <vt:lpstr>F001P630O6200</vt:lpstr>
      <vt:lpstr>F001P630O630064006500</vt:lpstr>
      <vt:lpstr>F001P630O6600</vt:lpstr>
      <vt:lpstr>F001P630O6800</vt:lpstr>
      <vt:lpstr>F001P630Personnel</vt:lpstr>
      <vt:lpstr>F001P700800900</vt:lpstr>
      <vt:lpstr>F001P700800900O6100</vt:lpstr>
      <vt:lpstr>F001P700800900O6200</vt:lpstr>
      <vt:lpstr>F001P700800900O630064006500</vt:lpstr>
      <vt:lpstr>F001P700800900O6600</vt:lpstr>
      <vt:lpstr>F001P700800900O6800</vt:lpstr>
      <vt:lpstr>F001P700800900Personnel</vt:lpstr>
      <vt:lpstr>F001TotalExp</vt:lpstr>
      <vt:lpstr>F001TotalExpSumm</vt:lpstr>
      <vt:lpstr>F001TotExpCurrFY</vt:lpstr>
      <vt:lpstr>F010Carryforward</vt:lpstr>
      <vt:lpstr>F010F1000</vt:lpstr>
      <vt:lpstr>F010F2100</vt:lpstr>
      <vt:lpstr>F010F2200</vt:lpstr>
      <vt:lpstr>F010F2310</vt:lpstr>
      <vt:lpstr>F010F2510</vt:lpstr>
      <vt:lpstr>F010F3300</vt:lpstr>
      <vt:lpstr>F010F4000</vt:lpstr>
      <vt:lpstr>F010F5000</vt:lpstr>
      <vt:lpstr>F010TotalExp</vt:lpstr>
      <vt:lpstr>F010TotalExpPY</vt:lpstr>
      <vt:lpstr>F020ClassSizeRedBudgFY</vt:lpstr>
      <vt:lpstr>F020DropPrevProgBudgFY</vt:lpstr>
      <vt:lpstr>F020InstrImprProgBudgFY</vt:lpstr>
      <vt:lpstr>F020TeachCompIncrBudgFY</vt:lpstr>
      <vt:lpstr>F020TotBudgFY</vt:lpstr>
      <vt:lpstr>F020TotCurrFY</vt:lpstr>
      <vt:lpstr>F050BudgFY</vt:lpstr>
      <vt:lpstr>F050CurrFY</vt:lpstr>
      <vt:lpstr>F071BudgFY</vt:lpstr>
      <vt:lpstr>F071CurrFY</vt:lpstr>
      <vt:lpstr>F071F1000</vt:lpstr>
      <vt:lpstr>F071F1000Personnel</vt:lpstr>
      <vt:lpstr>F071F2100</vt:lpstr>
      <vt:lpstr>F071F2100Personnel</vt:lpstr>
      <vt:lpstr>F071F2200</vt:lpstr>
      <vt:lpstr>F071F2200Personnel</vt:lpstr>
      <vt:lpstr>F071F2300</vt:lpstr>
      <vt:lpstr>F071F2300Personnel</vt:lpstr>
      <vt:lpstr>F071F2400</vt:lpstr>
      <vt:lpstr>F071F2400Personnel</vt:lpstr>
      <vt:lpstr>F071F2500</vt:lpstr>
      <vt:lpstr>F071F2500Personnel</vt:lpstr>
      <vt:lpstr>F071F2600</vt:lpstr>
      <vt:lpstr>F071F2600Personnel</vt:lpstr>
      <vt:lpstr>F071F2700</vt:lpstr>
      <vt:lpstr>F071F2700Personnel</vt:lpstr>
      <vt:lpstr>F071F2900</vt:lpstr>
      <vt:lpstr>F071F2900Personnel</vt:lpstr>
      <vt:lpstr>F072BudgFY</vt:lpstr>
      <vt:lpstr>F072CurrFY</vt:lpstr>
      <vt:lpstr>F072F1000</vt:lpstr>
      <vt:lpstr>F072F1000Personnel</vt:lpstr>
      <vt:lpstr>F072F2100</vt:lpstr>
      <vt:lpstr>F072F2100Personnel</vt:lpstr>
      <vt:lpstr>F072F2200</vt:lpstr>
      <vt:lpstr>F072F2200Personnel</vt:lpstr>
      <vt:lpstr>F072F2300</vt:lpstr>
      <vt:lpstr>F072F2300Personnel</vt:lpstr>
      <vt:lpstr>F072F2400</vt:lpstr>
      <vt:lpstr>F072F2400Personnel</vt:lpstr>
      <vt:lpstr>F072F2500</vt:lpstr>
      <vt:lpstr>F072F2500Personnel</vt:lpstr>
      <vt:lpstr>F072F2600</vt:lpstr>
      <vt:lpstr>F072F2600Personnel</vt:lpstr>
      <vt:lpstr>F072F2700</vt:lpstr>
      <vt:lpstr>F072F2700Personnel</vt:lpstr>
      <vt:lpstr>F072F2900</vt:lpstr>
      <vt:lpstr>F072F2900Personnel</vt:lpstr>
      <vt:lpstr>F100130BudgFY</vt:lpstr>
      <vt:lpstr>F100130Personnel</vt:lpstr>
      <vt:lpstr>F100P200F2100TotBudgFY</vt:lpstr>
      <vt:lpstr>F140150BudgFY</vt:lpstr>
      <vt:lpstr>F140150Personnel</vt:lpstr>
      <vt:lpstr>F160BudgFY</vt:lpstr>
      <vt:lpstr>F160Personnel</vt:lpstr>
      <vt:lpstr>F170180BudgFY</vt:lpstr>
      <vt:lpstr>F170180Personnel</vt:lpstr>
      <vt:lpstr>F190BudgFY</vt:lpstr>
      <vt:lpstr>F190Personnel</vt:lpstr>
      <vt:lpstr>F200BudgFY</vt:lpstr>
      <vt:lpstr>F200Personnel</vt:lpstr>
      <vt:lpstr>F210BudgFY</vt:lpstr>
      <vt:lpstr>F210Personnel</vt:lpstr>
      <vt:lpstr>F220BudgFY</vt:lpstr>
      <vt:lpstr>F220Personnel</vt:lpstr>
      <vt:lpstr>F230BudgFY</vt:lpstr>
      <vt:lpstr>F230Personnel</vt:lpstr>
      <vt:lpstr>F240BudgFY</vt:lpstr>
      <vt:lpstr>F240Personnel</vt:lpstr>
      <vt:lpstr>F250BudgFY</vt:lpstr>
      <vt:lpstr>F250Personnel</vt:lpstr>
      <vt:lpstr>F260270BudgFY</vt:lpstr>
      <vt:lpstr>F260270Personnel</vt:lpstr>
      <vt:lpstr>F280BudgFY</vt:lpstr>
      <vt:lpstr>F280Personnel</vt:lpstr>
      <vt:lpstr>F290BudgFY</vt:lpstr>
      <vt:lpstr>F290Personnel</vt:lpstr>
      <vt:lpstr>F300399OtherBudgFY</vt:lpstr>
      <vt:lpstr>F300399OtherPersonnel</vt:lpstr>
      <vt:lpstr>F349BudFY</vt:lpstr>
      <vt:lpstr>F349Personnel</vt:lpstr>
      <vt:lpstr>F353BudgFY</vt:lpstr>
      <vt:lpstr>F353Personnel</vt:lpstr>
      <vt:lpstr>F374BudgFY</vt:lpstr>
      <vt:lpstr>F374Personnel</vt:lpstr>
      <vt:lpstr>F378BudgFY</vt:lpstr>
      <vt:lpstr>F378Personnel</vt:lpstr>
      <vt:lpstr>F400BudgFY</vt:lpstr>
      <vt:lpstr>F400Personnel</vt:lpstr>
      <vt:lpstr>F410BudgFY</vt:lpstr>
      <vt:lpstr>F410Personnel</vt:lpstr>
      <vt:lpstr>F420BudgFY</vt:lpstr>
      <vt:lpstr>F420Personnel</vt:lpstr>
      <vt:lpstr>F425BudgFY</vt:lpstr>
      <vt:lpstr>F425Personnel</vt:lpstr>
      <vt:lpstr>F430BudgFY</vt:lpstr>
      <vt:lpstr>F430Personnel</vt:lpstr>
      <vt:lpstr>F435BudgFY</vt:lpstr>
      <vt:lpstr>F435Personnel</vt:lpstr>
      <vt:lpstr>F450BudgFY</vt:lpstr>
      <vt:lpstr>F450Personnel</vt:lpstr>
      <vt:lpstr>F456BudgFY</vt:lpstr>
      <vt:lpstr>F456Personnel</vt:lpstr>
      <vt:lpstr>F460BudgFY</vt:lpstr>
      <vt:lpstr>F460Personnel</vt:lpstr>
      <vt:lpstr>F465499BudgFY</vt:lpstr>
      <vt:lpstr>F465499Personnel</vt:lpstr>
      <vt:lpstr>F500BudgFY</vt:lpstr>
      <vt:lpstr>F500CurrFY</vt:lpstr>
      <vt:lpstr>F510BudgFY</vt:lpstr>
      <vt:lpstr>F510CurrFY</vt:lpstr>
      <vt:lpstr>F515BudgFY</vt:lpstr>
      <vt:lpstr>F515CurrFY</vt:lpstr>
      <vt:lpstr>F520BudgFY</vt:lpstr>
      <vt:lpstr>F520CurrFY</vt:lpstr>
      <vt:lpstr>F525BudgFY</vt:lpstr>
      <vt:lpstr>F525CurrFY</vt:lpstr>
      <vt:lpstr>F526BudgFY</vt:lpstr>
      <vt:lpstr>F526CurrFY</vt:lpstr>
      <vt:lpstr>F530BudgFY</vt:lpstr>
      <vt:lpstr>F530CurrFY</vt:lpstr>
      <vt:lpstr>F535BudgFY</vt:lpstr>
      <vt:lpstr>F535CurrFY</vt:lpstr>
      <vt:lpstr>F540BudgFY</vt:lpstr>
      <vt:lpstr>F540CurrFY</vt:lpstr>
      <vt:lpstr>F545BudgFY</vt:lpstr>
      <vt:lpstr>F545CurrFY</vt:lpstr>
      <vt:lpstr>F550BudgFY</vt:lpstr>
      <vt:lpstr>F550CurrFY</vt:lpstr>
      <vt:lpstr>F555BudgFY</vt:lpstr>
      <vt:lpstr>F555CurrFY</vt:lpstr>
      <vt:lpstr>F565BudgFY</vt:lpstr>
      <vt:lpstr>F565CurrFY</vt:lpstr>
      <vt:lpstr>F570BudgFY</vt:lpstr>
      <vt:lpstr>F570CurrFY</vt:lpstr>
      <vt:lpstr>F575BudgFY</vt:lpstr>
      <vt:lpstr>F575CurrFY</vt:lpstr>
      <vt:lpstr>F580BudgFY</vt:lpstr>
      <vt:lpstr>F580CurrFY</vt:lpstr>
      <vt:lpstr>F585BudgFY</vt:lpstr>
      <vt:lpstr>F585CurrFY</vt:lpstr>
      <vt:lpstr>F590BudgFY</vt:lpstr>
      <vt:lpstr>F590CurrFY</vt:lpstr>
      <vt:lpstr>F595BudgFY</vt:lpstr>
      <vt:lpstr>F595CurrFY</vt:lpstr>
      <vt:lpstr>F596BudgFY</vt:lpstr>
      <vt:lpstr>F596CurrFY</vt:lpstr>
      <vt:lpstr>F597BudgFY</vt:lpstr>
      <vt:lpstr>F597CurrFY</vt:lpstr>
      <vt:lpstr>F610BudgFYNewConstruction</vt:lpstr>
      <vt:lpstr>F610BudgFYO6150</vt:lpstr>
      <vt:lpstr>F610BudgFYO6200</vt:lpstr>
      <vt:lpstr>F610BudgFYO6450</vt:lpstr>
      <vt:lpstr>F610BudgFYO6710</vt:lpstr>
      <vt:lpstr>F610BudgFYO6720</vt:lpstr>
      <vt:lpstr>F610BudgFYO6731</vt:lpstr>
      <vt:lpstr>F610BudgFYO6734</vt:lpstr>
      <vt:lpstr>F610BudgFYO6737</vt:lpstr>
      <vt:lpstr>F610BudgFYO6831</vt:lpstr>
      <vt:lpstr>F610BudgFYO6841</vt:lpstr>
      <vt:lpstr>F610BudgFYOther</vt:lpstr>
      <vt:lpstr>F610BudgFYRenovation</vt:lpstr>
      <vt:lpstr>F610Carryforward</vt:lpstr>
      <vt:lpstr>F610F1000</vt:lpstr>
      <vt:lpstr>F610F21002200</vt:lpstr>
      <vt:lpstr>F610F2300240025002900</vt:lpstr>
      <vt:lpstr>F610F2600</vt:lpstr>
      <vt:lpstr>F610F2700</vt:lpstr>
      <vt:lpstr>F610F3000</vt:lpstr>
      <vt:lpstr>F610F4000</vt:lpstr>
      <vt:lpstr>F610F5000</vt:lpstr>
      <vt:lpstr>F610O6731</vt:lpstr>
      <vt:lpstr>F610O6734</vt:lpstr>
      <vt:lpstr>F610O6737</vt:lpstr>
      <vt:lpstr>F610Override</vt:lpstr>
      <vt:lpstr>F610TotalBudgFY</vt:lpstr>
      <vt:lpstr>F610TotalCurrFY</vt:lpstr>
      <vt:lpstr>F620BudgFYNewConstruction</vt:lpstr>
      <vt:lpstr>F620BudgFYO6150</vt:lpstr>
      <vt:lpstr>F620BudgFYO6200</vt:lpstr>
      <vt:lpstr>F620BudgFYO6450</vt:lpstr>
      <vt:lpstr>F620BudgFYO6710</vt:lpstr>
      <vt:lpstr>F620BudgFYO6720</vt:lpstr>
      <vt:lpstr>F620BudgFYO6731</vt:lpstr>
      <vt:lpstr>F620BudgFYO6734</vt:lpstr>
      <vt:lpstr>F620BudgFYO6737</vt:lpstr>
      <vt:lpstr>F620BudgFYO6831</vt:lpstr>
      <vt:lpstr>F620BudgFYO6841</vt:lpstr>
      <vt:lpstr>F620BudgFYOther</vt:lpstr>
      <vt:lpstr>F620BudgFYRenovation</vt:lpstr>
      <vt:lpstr>F620TotalBudgFY</vt:lpstr>
      <vt:lpstr>F620TotalCurrFY</vt:lpstr>
      <vt:lpstr>F630BudgFYNewConstruction</vt:lpstr>
      <vt:lpstr>F630BudgFYO6150</vt:lpstr>
      <vt:lpstr>F630BudgFYO6200</vt:lpstr>
      <vt:lpstr>F630BudgFYO6450</vt:lpstr>
      <vt:lpstr>F630BudgFYO6710</vt:lpstr>
      <vt:lpstr>F630BudgFYO6720</vt:lpstr>
      <vt:lpstr>F630BudgFYO6731</vt:lpstr>
      <vt:lpstr>F630BudgFYO6734</vt:lpstr>
      <vt:lpstr>F630BudgFYO6737</vt:lpstr>
      <vt:lpstr>F630BudgFYO6831</vt:lpstr>
      <vt:lpstr>F630BudgFYO6841</vt:lpstr>
      <vt:lpstr>F630BudgFYOther</vt:lpstr>
      <vt:lpstr>F630BudgFYRenovation</vt:lpstr>
      <vt:lpstr>F630TotalBudgFY</vt:lpstr>
      <vt:lpstr>F630TotalCurrFY</vt:lpstr>
      <vt:lpstr>F639BudgFY</vt:lpstr>
      <vt:lpstr>F639CurrFY</vt:lpstr>
      <vt:lpstr>F650BudgFY</vt:lpstr>
      <vt:lpstr>F650CurrFY</vt:lpstr>
      <vt:lpstr>F660BudgFY</vt:lpstr>
      <vt:lpstr>F660CurrFY</vt:lpstr>
      <vt:lpstr>F665BudgFY</vt:lpstr>
      <vt:lpstr>F665CurrFY</vt:lpstr>
      <vt:lpstr>F686BudgFY</vt:lpstr>
      <vt:lpstr>F686CurrFY</vt:lpstr>
      <vt:lpstr>F691BudgFY</vt:lpstr>
      <vt:lpstr>F691CurrFY</vt:lpstr>
      <vt:lpstr>F695BudgFYNewConstruction</vt:lpstr>
      <vt:lpstr>F695BudgFYO6150</vt:lpstr>
      <vt:lpstr>F695BudgFYO6200</vt:lpstr>
      <vt:lpstr>F695BudgFYO6450</vt:lpstr>
      <vt:lpstr>F695BudgFYO6710</vt:lpstr>
      <vt:lpstr>F695BudgFYO6720</vt:lpstr>
      <vt:lpstr>F695BudgFYO6731</vt:lpstr>
      <vt:lpstr>F695BudgFYO6734</vt:lpstr>
      <vt:lpstr>F695BudgFYO6737</vt:lpstr>
      <vt:lpstr>F695BudgFYO6831</vt:lpstr>
      <vt:lpstr>F695BudgFYO6841</vt:lpstr>
      <vt:lpstr>F695BudgFYOther</vt:lpstr>
      <vt:lpstr>F695TotalBudgFY</vt:lpstr>
      <vt:lpstr>F695TotalCurrFY</vt:lpstr>
      <vt:lpstr>F699BudgFY</vt:lpstr>
      <vt:lpstr>F699Personnel</vt:lpstr>
      <vt:lpstr>F700BudgFY</vt:lpstr>
      <vt:lpstr>F700CurrFY</vt:lpstr>
      <vt:lpstr>F720BudgFY</vt:lpstr>
      <vt:lpstr>F720CurrFY</vt:lpstr>
      <vt:lpstr>F850BudgFY</vt:lpstr>
      <vt:lpstr>F850CurrFY</vt:lpstr>
      <vt:lpstr>F9__OPEBBudgFY</vt:lpstr>
      <vt:lpstr>F9__OPEBCurrFY</vt:lpstr>
      <vt:lpstr>F9__OtherBudgFY</vt:lpstr>
      <vt:lpstr>F9__OtherCurrFY</vt:lpstr>
      <vt:lpstr>F9__SelfInsBudgFY</vt:lpstr>
      <vt:lpstr>F9__SelfInsCurrFY</vt:lpstr>
      <vt:lpstr>F955BudgFY</vt:lpstr>
      <vt:lpstr>F955CurrFY</vt:lpstr>
      <vt:lpstr>Cover!FiscalYear</vt:lpstr>
      <vt:lpstr>FundBalA1</vt:lpstr>
      <vt:lpstr>FundBalA2a</vt:lpstr>
      <vt:lpstr>FundBalA2b</vt:lpstr>
      <vt:lpstr>FundBalA3a</vt:lpstr>
      <vt:lpstr>FundBalA3b</vt:lpstr>
      <vt:lpstr>FundBalA3c</vt:lpstr>
      <vt:lpstr>FundBalA3d</vt:lpstr>
      <vt:lpstr>FundBalA3e</vt:lpstr>
      <vt:lpstr>FundBalA4a</vt:lpstr>
      <vt:lpstr>FundBalA4b</vt:lpstr>
      <vt:lpstr>FundBalA4c</vt:lpstr>
      <vt:lpstr>FundBalA4d</vt:lpstr>
      <vt:lpstr>FundBalC</vt:lpstr>
      <vt:lpstr>FundBalGen</vt:lpstr>
      <vt:lpstr>FY2018Salary</vt:lpstr>
      <vt:lpstr>GBLBudgFY</vt:lpstr>
      <vt:lpstr>GBLBudgFYSumm</vt:lpstr>
      <vt:lpstr>GPLETV</vt:lpstr>
      <vt:lpstr>HSCountDORtoDOA</vt:lpstr>
      <vt:lpstr>IEPTransportCosts</vt:lpstr>
      <vt:lpstr>Incr200Days</vt:lpstr>
      <vt:lpstr>IncreaseTuitionLossAdj</vt:lpstr>
      <vt:lpstr>IncrTeachComp</vt:lpstr>
      <vt:lpstr>IncrTransEWStoMO</vt:lpstr>
      <vt:lpstr>JTEDBudgFY</vt:lpstr>
      <vt:lpstr>JTEDCurrFY</vt:lpstr>
      <vt:lpstr>K3RSLW</vt:lpstr>
      <vt:lpstr>K3SLW</vt:lpstr>
      <vt:lpstr>LessDSLorRCL912</vt:lpstr>
      <vt:lpstr>MOFoodService</vt:lpstr>
      <vt:lpstr>NonAOIGrBAddOnWgtdADM</vt:lpstr>
      <vt:lpstr>NonAOIRegEdWgtdADM</vt:lpstr>
      <vt:lpstr>NonAOIStudCnt912CY</vt:lpstr>
      <vt:lpstr>NonAOIStudCntDD.ED.MIID.SLD.SLI.OHI</vt:lpstr>
      <vt:lpstr>NonAOIStudCntEDP</vt:lpstr>
      <vt:lpstr>NonAOIStudCntELL</vt:lpstr>
      <vt:lpstr>NonAOIStudCntFRPL</vt:lpstr>
      <vt:lpstr>NonAOIStudCntG</vt:lpstr>
      <vt:lpstr>NonAOIStudCntHI</vt:lpstr>
      <vt:lpstr>NonAOIStudCntK3</vt:lpstr>
      <vt:lpstr>NonAOIStudCntK3R</vt:lpstr>
      <vt:lpstr>NonAOIStudCntK8CY</vt:lpstr>
      <vt:lpstr>NonAOIStudCntMDR.AR.SIDR</vt:lpstr>
      <vt:lpstr>NonAOIStudCntMDRARSIDR</vt:lpstr>
      <vt:lpstr>NonAOIStudCntMDSC.ASC.SIDSC</vt:lpstr>
      <vt:lpstr>NonAOIStudCntMDSCASCSIDSC</vt:lpstr>
      <vt:lpstr>NonAOIStudCntMDSDASCSIDSC</vt:lpstr>
      <vt:lpstr>NonAOIStudCntMDSSI</vt:lpstr>
      <vt:lpstr>NonAOIStudCntMOID</vt:lpstr>
      <vt:lpstr>NonAOIStudCntOIR</vt:lpstr>
      <vt:lpstr>NonAOIStudCntOISC</vt:lpstr>
      <vt:lpstr>NonAOIStudCntP.SD</vt:lpstr>
      <vt:lpstr>NonAOIStudCntPSD</vt:lpstr>
      <vt:lpstr>NonAOIStudCntPSDCY</vt:lpstr>
      <vt:lpstr>NonAOIStudCntVI</vt:lpstr>
      <vt:lpstr>NonFedAuditExp</vt:lpstr>
      <vt:lpstr>OtherFundsBudgFY</vt:lpstr>
      <vt:lpstr>OtherFundsCurrFY</vt:lpstr>
      <vt:lpstr>Page1</vt:lpstr>
      <vt:lpstr>Page1l27</vt:lpstr>
      <vt:lpstr>Page1l28</vt:lpstr>
      <vt:lpstr>Page1l29</vt:lpstr>
      <vt:lpstr>Page1l4</vt:lpstr>
      <vt:lpstr>Page1l9</vt:lpstr>
      <vt:lpstr>Page1Line30</vt:lpstr>
      <vt:lpstr>Page1Line32</vt:lpstr>
      <vt:lpstr>Page2</vt:lpstr>
      <vt:lpstr>Page2l45</vt:lpstr>
      <vt:lpstr>Page2n1</vt:lpstr>
      <vt:lpstr>Page2n4</vt:lpstr>
      <vt:lpstr>Page3</vt:lpstr>
      <vt:lpstr>Page3Gen</vt:lpstr>
      <vt:lpstr>Page3l9</vt:lpstr>
      <vt:lpstr>Page3Line10</vt:lpstr>
      <vt:lpstr>Page3Line12</vt:lpstr>
      <vt:lpstr>Page3Line14</vt:lpstr>
      <vt:lpstr>Page3Line15</vt:lpstr>
      <vt:lpstr>Page3Line16</vt:lpstr>
      <vt:lpstr>Page3Line4</vt:lpstr>
      <vt:lpstr>Page3Line9</vt:lpstr>
      <vt:lpstr>Page4f5</vt:lpstr>
      <vt:lpstr>Page4L11</vt:lpstr>
      <vt:lpstr>Page4L12</vt:lpstr>
      <vt:lpstr>Page5</vt:lpstr>
      <vt:lpstr>Page5SelectExp</vt:lpstr>
      <vt:lpstr>Page6</vt:lpstr>
      <vt:lpstr>Page6F456</vt:lpstr>
      <vt:lpstr>Page6l16</vt:lpstr>
      <vt:lpstr>Page6l17</vt:lpstr>
      <vt:lpstr>Page6l2</vt:lpstr>
      <vt:lpstr>Page6l24</vt:lpstr>
      <vt:lpstr>Page6l29</vt:lpstr>
      <vt:lpstr>Page6l2and3</vt:lpstr>
      <vt:lpstr>Page6l30</vt:lpstr>
      <vt:lpstr>Page6l31</vt:lpstr>
      <vt:lpstr>Page6l34</vt:lpstr>
      <vt:lpstr>Page6l4</vt:lpstr>
      <vt:lpstr>'Page 8'!Page7</vt:lpstr>
      <vt:lpstr>Page7Gen</vt:lpstr>
      <vt:lpstr>Page7l1</vt:lpstr>
      <vt:lpstr>Page7l2athroughb</vt:lpstr>
      <vt:lpstr>Page7l2b</vt:lpstr>
      <vt:lpstr>Page7l3</vt:lpstr>
      <vt:lpstr>Page7l3a</vt:lpstr>
      <vt:lpstr>Page7l3b</vt:lpstr>
      <vt:lpstr>Page7l3c</vt:lpstr>
      <vt:lpstr>Page7l4</vt:lpstr>
      <vt:lpstr>Page7l5</vt:lpstr>
      <vt:lpstr>Page7l5d</vt:lpstr>
      <vt:lpstr>Page7l6</vt:lpstr>
      <vt:lpstr>Page7l7</vt:lpstr>
      <vt:lpstr>Page7l8a</vt:lpstr>
      <vt:lpstr>Page7l8b</vt:lpstr>
      <vt:lpstr>Page7l8c</vt:lpstr>
      <vt:lpstr>Page7l8d</vt:lpstr>
      <vt:lpstr>Page7l8e</vt:lpstr>
      <vt:lpstr>Page7l8f</vt:lpstr>
      <vt:lpstr>Page7l8g</vt:lpstr>
      <vt:lpstr>Page7l8h</vt:lpstr>
      <vt:lpstr>Page7l9</vt:lpstr>
      <vt:lpstr>Page8lA10</vt:lpstr>
      <vt:lpstr>Page8lA2</vt:lpstr>
      <vt:lpstr>Page8lA3</vt:lpstr>
      <vt:lpstr>Page8lA6</vt:lpstr>
      <vt:lpstr>Page8lA8</vt:lpstr>
      <vt:lpstr>Page8lA9</vt:lpstr>
      <vt:lpstr>PAV</vt:lpstr>
      <vt:lpstr>PercentageIncrease</vt:lpstr>
      <vt:lpstr>PercentageIncreaseSumm</vt:lpstr>
      <vt:lpstr>PerfPay</vt:lpstr>
      <vt:lpstr>PerfPayCrryfwd</vt:lpstr>
      <vt:lpstr>PlannedCarryforward</vt:lpstr>
      <vt:lpstr>PreAdjDAA</vt:lpstr>
      <vt:lpstr>PremFYTRCL</vt:lpstr>
      <vt:lpstr>PrimTaxRateCurrFY</vt:lpstr>
      <vt:lpstr>PrimTaxRatePYSumm</vt:lpstr>
      <vt:lpstr>'BSA55'!Print_Area</vt:lpstr>
      <vt:lpstr>Calculations!Print_Area</vt:lpstr>
      <vt:lpstr>'Data Entry'!Print_Area</vt:lpstr>
      <vt:lpstr>'Fund balances'!Print_Area</vt:lpstr>
      <vt:lpstr>Instructions!Print_Area</vt:lpstr>
      <vt:lpstr>'Page 1'!Print_Area</vt:lpstr>
      <vt:lpstr>'Page 2'!Print_Area</vt:lpstr>
      <vt:lpstr>'Page 3'!Print_Area</vt:lpstr>
      <vt:lpstr>'Page 4'!Print_Area</vt:lpstr>
      <vt:lpstr>'Page 5'!Print_Area</vt:lpstr>
      <vt:lpstr>'Page 6'!Print_Area</vt:lpstr>
      <vt:lpstr>'Page 7'!Print_Area</vt:lpstr>
      <vt:lpstr>'Page 8'!Print_Area</vt:lpstr>
      <vt:lpstr>'Summary Page 1'!Print_Area</vt:lpstr>
      <vt:lpstr>'Summary Page 2'!Print_Area</vt:lpstr>
      <vt:lpstr>Supplement!Print_Area</vt:lpstr>
      <vt:lpstr>'Truth in Tax'!Print_Area</vt:lpstr>
      <vt:lpstr>'BSA55'!Print_Titles</vt:lpstr>
      <vt:lpstr>Calculations!Print_Titles</vt:lpstr>
      <vt:lpstr>'Data Entry'!Print_Titles</vt:lpstr>
      <vt:lpstr>Instructions!Print_Titles</vt:lpstr>
      <vt:lpstr>PriorFiscalYear</vt:lpstr>
      <vt:lpstr>PriorYearADM</vt:lpstr>
      <vt:lpstr>PriorYearSalary</vt:lpstr>
      <vt:lpstr>PriorYearSalarySumm</vt:lpstr>
      <vt:lpstr>PY100DayADM</vt:lpstr>
      <vt:lpstr>PYActExpend</vt:lpstr>
      <vt:lpstr>PYADM</vt:lpstr>
      <vt:lpstr>PYEndMOCash</vt:lpstr>
      <vt:lpstr>PYIAEndCash</vt:lpstr>
      <vt:lpstr>PYTotMOActExpend</vt:lpstr>
      <vt:lpstr>QLPSD8</vt:lpstr>
      <vt:lpstr>QTR</vt:lpstr>
      <vt:lpstr>RatioAdmin</vt:lpstr>
      <vt:lpstr>RatioCertOther</vt:lpstr>
      <vt:lpstr>RatioCertSubtotal</vt:lpstr>
      <vt:lpstr>RatioClassOther</vt:lpstr>
      <vt:lpstr>RatioClassSubtotal</vt:lpstr>
      <vt:lpstr>RatioManagers</vt:lpstr>
      <vt:lpstr>RatioTeachers</vt:lpstr>
      <vt:lpstr>RatioTeachersAides</vt:lpstr>
      <vt:lpstr>RatioTotal</vt:lpstr>
      <vt:lpstr>RCL</vt:lpstr>
      <vt:lpstr>RemoteInstructionDecre</vt:lpstr>
      <vt:lpstr>SalaryComments</vt:lpstr>
      <vt:lpstr>SalaryCommentsSumm</vt:lpstr>
      <vt:lpstr>SalaryIncrease</vt:lpstr>
      <vt:lpstr>SalaryIncreaseSumm</vt:lpstr>
      <vt:lpstr>SecTaxRateBudgFYSumm</vt:lpstr>
      <vt:lpstr>SecTaxRatePYSumm</vt:lpstr>
      <vt:lpstr>SmallIsolated912Checkbox</vt:lpstr>
      <vt:lpstr>SmallIsolatedPSD8Checkbox</vt:lpstr>
      <vt:lpstr>SpecProgOverride</vt:lpstr>
      <vt:lpstr>SPEDCareerEdBudgFY</vt:lpstr>
      <vt:lpstr>SPEDCareerEdCurrFY</vt:lpstr>
      <vt:lpstr>SPEDELLCompInstrBudgFY</vt:lpstr>
      <vt:lpstr>SPEDELLCompInstrCurrFY</vt:lpstr>
      <vt:lpstr>SPEDELLIncCostBudgFY</vt:lpstr>
      <vt:lpstr>SPEDELLIncCostCurrFY</vt:lpstr>
      <vt:lpstr>SPEDGiftedEdBudgFY</vt:lpstr>
      <vt:lpstr>SPEDGiftedEdCurrFY</vt:lpstr>
      <vt:lpstr>SPEDRemedialEdBudgFY</vt:lpstr>
      <vt:lpstr>SPEDRemedialEdCurrFY</vt:lpstr>
      <vt:lpstr>SPEDStaff</vt:lpstr>
      <vt:lpstr>SPEDTeacher</vt:lpstr>
      <vt:lpstr>SPEDTotBudgFY</vt:lpstr>
      <vt:lpstr>SPEDVocTechEdBudgFY</vt:lpstr>
      <vt:lpstr>SPEDVocTechEdCurrFY</vt:lpstr>
      <vt:lpstr>SRPV</vt:lpstr>
      <vt:lpstr>SSA_MO</vt:lpstr>
      <vt:lpstr>SSA_UCO</vt:lpstr>
      <vt:lpstr>SSAFYExceeded</vt:lpstr>
      <vt:lpstr>SSAOriginalBudget</vt:lpstr>
      <vt:lpstr>SSAPDRCL10</vt:lpstr>
      <vt:lpstr>SSAPhaseDownCheckbox</vt:lpstr>
      <vt:lpstr>StateSupportLevelRouteMile1</vt:lpstr>
      <vt:lpstr>StateSupportLevelRouteMile2</vt:lpstr>
      <vt:lpstr>SumDebtServiceBY</vt:lpstr>
      <vt:lpstr>Summ_Page1_StudentCount</vt:lpstr>
      <vt:lpstr>SummAdjacentWaysBY</vt:lpstr>
      <vt:lpstr>SummAdjacentWaysPY</vt:lpstr>
      <vt:lpstr>SummAllDisabilityBY</vt:lpstr>
      <vt:lpstr>SummAllDisabilityPY</vt:lpstr>
      <vt:lpstr>SUMMARY_Page1</vt:lpstr>
      <vt:lpstr>SUMMARY_Page2</vt:lpstr>
      <vt:lpstr>'Summary Page 2'!SUMMARY2</vt:lpstr>
      <vt:lpstr>SummAuxOpsBY</vt:lpstr>
      <vt:lpstr>SummAuxOpsPY</vt:lpstr>
      <vt:lpstr>SummBondBuildingBY</vt:lpstr>
      <vt:lpstr>SummBondBuildingPY</vt:lpstr>
      <vt:lpstr>SummCareerEdBY</vt:lpstr>
      <vt:lpstr>SummCareerEdPY</vt:lpstr>
      <vt:lpstr>SummCompInstrBY</vt:lpstr>
      <vt:lpstr>SummCompInstrPY</vt:lpstr>
      <vt:lpstr>SummCSFBY</vt:lpstr>
      <vt:lpstr>SummCSFPY</vt:lpstr>
      <vt:lpstr>SummCTEDBY</vt:lpstr>
      <vt:lpstr>SummCTEDPY</vt:lpstr>
      <vt:lpstr>SummDebtServicePY</vt:lpstr>
      <vt:lpstr>SummELLBY</vt:lpstr>
      <vt:lpstr>SummELLCompInstBY</vt:lpstr>
      <vt:lpstr>SummELLIncrementalBY</vt:lpstr>
      <vt:lpstr>SummELLIncrementalPY</vt:lpstr>
      <vt:lpstr>SummELLPY</vt:lpstr>
      <vt:lpstr>SummFedProjectsBY</vt:lpstr>
      <vt:lpstr>SummFedProjectsPY</vt:lpstr>
      <vt:lpstr>SummFoodServiceBY</vt:lpstr>
      <vt:lpstr>SummFoodServicePY</vt:lpstr>
      <vt:lpstr>SummFY2018Salary</vt:lpstr>
      <vt:lpstr>SummGiftedBY</vt:lpstr>
      <vt:lpstr>SummGiftedPY</vt:lpstr>
      <vt:lpstr>SummInstImprovBY</vt:lpstr>
      <vt:lpstr>SummInstImprovPY</vt:lpstr>
      <vt:lpstr>SummMOBY</vt:lpstr>
      <vt:lpstr>SummMOPY</vt:lpstr>
      <vt:lpstr>SummNSFBY</vt:lpstr>
      <vt:lpstr>SummNSFPY</vt:lpstr>
      <vt:lpstr>SummOtherBY</vt:lpstr>
      <vt:lpstr>SummOtherPY</vt:lpstr>
      <vt:lpstr>SummRemedialBY</vt:lpstr>
      <vt:lpstr>SummRemedialPY</vt:lpstr>
      <vt:lpstr>SummSchoolPlantBY</vt:lpstr>
      <vt:lpstr>SummSchoolPlantPY</vt:lpstr>
      <vt:lpstr>SummSpecEdTotalBY</vt:lpstr>
      <vt:lpstr>SummSpecEdTotalPY</vt:lpstr>
      <vt:lpstr>SummStateProjectsBY</vt:lpstr>
      <vt:lpstr>SummStateProjectsPY</vt:lpstr>
      <vt:lpstr>SummTotalPercentageIncrease</vt:lpstr>
      <vt:lpstr>SummUCOBY</vt:lpstr>
      <vt:lpstr>SummUCOPY</vt:lpstr>
      <vt:lpstr>SummVocandTechEdBY</vt:lpstr>
      <vt:lpstr>SummVocandTechEdPY</vt:lpstr>
      <vt:lpstr>Suppl_ELL</vt:lpstr>
      <vt:lpstr>Supplement!Suppl_P.1_2</vt:lpstr>
      <vt:lpstr>SuppLvlWgt912NonIsolated</vt:lpstr>
      <vt:lpstr>SupportLevelWeight912</vt:lpstr>
      <vt:lpstr>SupportLevelWeight912NonIsolated</vt:lpstr>
      <vt:lpstr>Cover!System</vt:lpstr>
      <vt:lpstr>TaxRates</vt:lpstr>
      <vt:lpstr>TeacherCompCheckbox</vt:lpstr>
      <vt:lpstr>TeacherSalaryIncrease</vt:lpstr>
      <vt:lpstr>TEI</vt:lpstr>
      <vt:lpstr>TNTWSl12</vt:lpstr>
      <vt:lpstr>TotalAOIFTStudCntCY</vt:lpstr>
      <vt:lpstr>TotalAOIPTStudCntCY</vt:lpstr>
      <vt:lpstr>TotalDAAAdj</vt:lpstr>
      <vt:lpstr>TotalFTEAdmin</vt:lpstr>
      <vt:lpstr>TotalFTECertOther</vt:lpstr>
      <vt:lpstr>TotalFTECertSubtotal</vt:lpstr>
      <vt:lpstr>TotalFTEClassOther</vt:lpstr>
      <vt:lpstr>TotalFTEClassSubtotal</vt:lpstr>
      <vt:lpstr>TotalFTEManagers</vt:lpstr>
      <vt:lpstr>TotalFTESpecEdStaff</vt:lpstr>
      <vt:lpstr>TotalFTESpecEdTeacher</vt:lpstr>
      <vt:lpstr>TotalFTETeachers</vt:lpstr>
      <vt:lpstr>TotalFTETeachersAides</vt:lpstr>
      <vt:lpstr>TotalFTETotal</vt:lpstr>
      <vt:lpstr>TotalNonAOIStudCntCY</vt:lpstr>
      <vt:lpstr>TotalPercentageIncrease</vt:lpstr>
      <vt:lpstr>TotAmtCapExped</vt:lpstr>
      <vt:lpstr>TotFedProjFundBudgFY</vt:lpstr>
      <vt:lpstr>TotFedProjFundCurrFY</vt:lpstr>
      <vt:lpstr>TotSecTaxRateBudgFY</vt:lpstr>
      <vt:lpstr>TotSecTaxRateCurrFY</vt:lpstr>
      <vt:lpstr>TotStateProjFundBudgFY</vt:lpstr>
      <vt:lpstr>TotStateProjFundCurrFY</vt:lpstr>
      <vt:lpstr>'BSA55'!TRCLBudgPY</vt:lpstr>
      <vt:lpstr>TruthinTax</vt:lpstr>
      <vt:lpstr>TruthInTaxBaseLmt</vt:lpstr>
      <vt:lpstr>TruthinTaxl1</vt:lpstr>
      <vt:lpstr>TruthinTaxl2</vt:lpstr>
      <vt:lpstr>TruthinTaxl8a</vt:lpstr>
      <vt:lpstr>TSL</vt:lpstr>
      <vt:lpstr>'BSA55'!TSLBudgPY</vt:lpstr>
      <vt:lpstr>TwoPriorYearADM</vt:lpstr>
      <vt:lpstr>TwoYearsPrior</vt:lpstr>
      <vt:lpstr>Type01TranspFactor</vt:lpstr>
      <vt:lpstr>Type02TranspFactor</vt:lpstr>
      <vt:lpstr>Type03TranspFactor</vt:lpstr>
      <vt:lpstr>Type04TranspFactor</vt:lpstr>
      <vt:lpstr>Type05TranspFactor</vt:lpstr>
      <vt:lpstr>UCBLBudgFY</vt:lpstr>
      <vt:lpstr>UCBLBudgFYSumm</vt:lpstr>
      <vt:lpstr>UCOBudgFYSumm</vt:lpstr>
      <vt:lpstr>UCOFundK3ReadExp</vt:lpstr>
      <vt:lpstr>UCOFundType</vt:lpstr>
      <vt:lpstr>UnweightedStudCnt912CY</vt:lpstr>
      <vt:lpstr>UnweightedStudCnt912PY</vt:lpstr>
      <vt:lpstr>UnweightedStudCntK8CY</vt:lpstr>
      <vt:lpstr>UnweightedStudCntK8PY</vt:lpstr>
      <vt:lpstr>UnweightedStudCntPSDCY</vt:lpstr>
      <vt:lpstr>UnweightedStudCntPSDPY</vt:lpstr>
      <vt:lpstr>Version</vt:lpstr>
      <vt:lpstr>WebsiteLink</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azauditor</dc:creator>
  <cp:keywords/>
  <dc:description/>
  <cp:lastModifiedBy>Cheri Shull</cp:lastModifiedBy>
  <cp:lastPrinted>2026-06-23T15:22:15Z</cp:lastPrinted>
  <dcterms:created xsi:type="dcterms:W3CDTF">1998-03-23T03:01:19Z</dcterms:created>
  <dcterms:modified xsi:type="dcterms:W3CDTF">2026-06-23T15:22:34Z</dcterms:modified>
  <cp:category/>
  <cp:contentStatus/>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iscalYear">
    <vt:lpwstr>2027</vt:lpwstr>
  </property>
  <property fmtid="{D5CDD505-2E9C-101B-9397-08002B2CF9AE}" pid="3" name="BudgetTypeID">
    <vt:lpwstr>1</vt:lpwstr>
  </property>
  <property fmtid="{D5CDD505-2E9C-101B-9397-08002B2CF9AE}" pid="4" name="SchoolBySchool">
    <vt:lpwstr>0</vt:lpwstr>
  </property>
  <property fmtid="{D5CDD505-2E9C-101B-9397-08002B2CF9AE}" pid="5" name="Password">
    <vt:lpwstr>43014EB</vt:lpwstr>
  </property>
  <property fmtid="{D5CDD505-2E9C-101B-9397-08002B2CF9AE}" pid="6" name="ADEGUID">
    <vt:lpwstr>9244C05E-B17A-4A06-A66C-6A7F09ACB0F9</vt:lpwstr>
  </property>
  <property fmtid="{D5CDD505-2E9C-101B-9397-08002B2CF9AE}" pid="7" name="ContentTypeId">
    <vt:lpwstr>0x01010011E11B9217455B40B8FBB9893A94134E</vt:lpwstr>
  </property>
  <property fmtid="{D5CDD505-2E9C-101B-9397-08002B2CF9AE}" pid="8" name="MediaServiceImageTags">
    <vt:lpwstr/>
  </property>
</Properties>
</file>